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tables/table4.xml" ContentType="application/vnd.openxmlformats-officedocument.spreadsheetml.table+xml"/>
  <Override PartName="/xl/tables/table16.xml" ContentType="application/vnd.openxmlformats-officedocument.spreadsheetml.table+xml"/>
  <Override PartName="/xl/tables/table25.xml" ContentType="application/vnd.openxmlformats-officedocument.spreadsheetml.table+xml"/>
  <Override PartName="/xl/tables/table34.xml" ContentType="application/vnd.openxmlformats-officedocument.spreadsheetml.table+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tables/table14.xml" ContentType="application/vnd.openxmlformats-officedocument.spreadsheetml.table+xml"/>
  <Override PartName="/xl/tables/table23.xml" ContentType="application/vnd.openxmlformats-officedocument.spreadsheetml.table+xml"/>
  <Override PartName="/xl/tables/table32.xml" ContentType="application/vnd.openxmlformats-officedocument.spreadsheetml.table+xml"/>
  <Override PartName="/xl/tables/table41.xml" ContentType="application/vnd.openxmlformats-officedocument.spreadsheetml.table+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tables/table12.xml" ContentType="application/vnd.openxmlformats-officedocument.spreadsheetml.table+xml"/>
  <Override PartName="/xl/tables/table21.xml" ContentType="application/vnd.openxmlformats-officedocument.spreadsheetml.table+xml"/>
  <Override PartName="/xl/tables/table30.xml" ContentType="application/vnd.openxmlformats-officedocument.spreadsheetml.table+xml"/>
  <Default Extension="rels" ContentType="application/vnd.openxmlformats-package.relationships+xml"/>
  <Default Extension="xml" ContentType="application/xml"/>
  <Override PartName="/xl/worksheets/sheet5.xml" ContentType="application/vnd.openxmlformats-officedocument.spreadsheetml.worksheet+xml"/>
  <Override PartName="/xl/tables/table10.xml" ContentType="application/vnd.openxmlformats-officedocument.spreadsheetml.table+xml"/>
  <Override PartName="/xl/comments4.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tables/table9.xml" ContentType="application/vnd.openxmlformats-officedocument.spreadsheetml.table+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tables/table19.xml" ContentType="application/vnd.openxmlformats-officedocument.spreadsheetml.table+xml"/>
  <Override PartName="/xl/tables/table29.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ables/table5.xml" ContentType="application/vnd.openxmlformats-officedocument.spreadsheetml.table+xml"/>
  <Override PartName="/xl/tables/table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tables/table3.xml" ContentType="application/vnd.openxmlformats-officedocument.spreadsheetml.table+xml"/>
  <Override PartName="/xl/tables/table15.xml" ContentType="application/vnd.openxmlformats-officedocument.spreadsheetml.table+xml"/>
  <Override PartName="/xl/tables/table24.xml" ContentType="application/vnd.openxmlformats-officedocument.spreadsheetml.table+xml"/>
  <Override PartName="/xl/tables/table35.xml" ContentType="application/vnd.openxmlformats-officedocument.spreadsheetml.table+xml"/>
  <Override PartName="/xl/worksheets/sheet14.xml" ContentType="application/vnd.openxmlformats-officedocument.spreadsheetml.worksheet+xml"/>
  <Override PartName="/xl/worksheets/sheet23.xml" ContentType="application/vnd.openxmlformats-officedocument.spreadsheetml.worksheet+xml"/>
  <Override PartName="/xl/tables/table1.xml" ContentType="application/vnd.openxmlformats-officedocument.spreadsheetml.table+xml"/>
  <Override PartName="/xl/tables/table13.xml" ContentType="application/vnd.openxmlformats-officedocument.spreadsheetml.table+xml"/>
  <Override PartName="/xl/tables/table22.xml" ContentType="application/vnd.openxmlformats-officedocument.spreadsheetml.table+xml"/>
  <Override PartName="/xl/tables/table33.xml" ContentType="application/vnd.openxmlformats-officedocument.spreadsheetml.table+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tables/table11.xml" ContentType="application/vnd.openxmlformats-officedocument.spreadsheetml.table+xml"/>
  <Override PartName="/xl/tables/table20.xml" ContentType="application/vnd.openxmlformats-officedocument.spreadsheetml.table+xml"/>
  <Override PartName="/xl/tables/table31.xml" ContentType="application/vnd.openxmlformats-officedocument.spreadsheetml.table+xml"/>
  <Override PartName="/xl/tables/table40.xml" ContentType="application/vnd.openxmlformats-officedocument.spreadsheetml.table+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8975" windowHeight="8640" tabRatio="729"/>
  </bookViews>
  <sheets>
    <sheet name="Notes" sheetId="28" r:id="rId1"/>
    <sheet name="Area&amp;Cost" sheetId="25" r:id="rId2"/>
    <sheet name="Comptn." sheetId="26" r:id="rId3"/>
    <sheet name="Financials" sheetId="27" r:id="rId4"/>
    <sheet name="Interest" sheetId="29" r:id="rId5"/>
    <sheet name="Deprn" sheetId="30" r:id="rId6"/>
    <sheet name="1" sheetId="1" r:id="rId7"/>
    <sheet name="2" sheetId="2" r:id="rId8"/>
    <sheet name="3" sheetId="3" r:id="rId9"/>
    <sheet name="4" sheetId="4" r:id="rId10"/>
    <sheet name="5" sheetId="6" r:id="rId11"/>
    <sheet name="6" sheetId="7" r:id="rId12"/>
    <sheet name="7" sheetId="8" r:id="rId13"/>
    <sheet name="8" sheetId="9" r:id="rId14"/>
    <sheet name="9" sheetId="10" r:id="rId15"/>
    <sheet name="10" sheetId="33" r:id="rId16"/>
    <sheet name="11" sheetId="31" r:id="rId17"/>
    <sheet name="12" sheetId="32" r:id="rId18"/>
    <sheet name="13" sheetId="11" r:id="rId19"/>
    <sheet name="14" sheetId="12" r:id="rId20"/>
    <sheet name="15" sheetId="13" r:id="rId21"/>
    <sheet name="16" sheetId="14" r:id="rId22"/>
    <sheet name="17" sheetId="15" r:id="rId23"/>
    <sheet name="18" sheetId="16" r:id="rId24"/>
    <sheet name="19" sheetId="19" r:id="rId25"/>
    <sheet name="20" sheetId="20" r:id="rId26"/>
    <sheet name="21" sheetId="21" r:id="rId27"/>
    <sheet name="22" sheetId="22" r:id="rId28"/>
  </sheets>
  <definedNames>
    <definedName name="_xlnm.Print_Area" localSheetId="8">'3'!$A$1:$E$31</definedName>
    <definedName name="_xlnm.Print_Area" localSheetId="2">Comptn.!$A$1:$AB$106</definedName>
    <definedName name="_xlnm.Print_Titles" localSheetId="27">'22'!$1:$4</definedName>
    <definedName name="_xlnm.Print_Titles" localSheetId="3">Financials!$2:$2</definedName>
  </definedNames>
  <calcPr calcId="124519"/>
</workbook>
</file>

<file path=xl/calcChain.xml><?xml version="1.0" encoding="utf-8"?>
<calcChain xmlns="http://schemas.openxmlformats.org/spreadsheetml/2006/main">
  <c r="H6" i="33"/>
  <c r="C3" i="10"/>
  <c r="D14" i="8"/>
  <c r="C33" i="27"/>
  <c r="D33" s="1"/>
  <c r="E33" s="1"/>
  <c r="F33" s="1"/>
  <c r="G33" s="1"/>
  <c r="H33" s="1"/>
  <c r="I33" s="1"/>
  <c r="J33" s="1"/>
  <c r="K33" s="1"/>
  <c r="L33" s="1"/>
  <c r="C18"/>
  <c r="D18" s="1"/>
  <c r="E18" s="1"/>
  <c r="F18" s="1"/>
  <c r="G18" s="1"/>
  <c r="H18" s="1"/>
  <c r="I18" s="1"/>
  <c r="J18" s="1"/>
  <c r="B6"/>
  <c r="C6" s="1"/>
  <c r="D6" s="1"/>
  <c r="E6" s="1"/>
  <c r="F6" s="1"/>
  <c r="G6" s="1"/>
  <c r="H6" s="1"/>
  <c r="I6" s="1"/>
  <c r="J6" s="1"/>
  <c r="K6" s="1"/>
  <c r="AB7" i="26"/>
  <c r="AA7"/>
  <c r="Z7" s="1"/>
  <c r="B31"/>
  <c r="E40" i="25"/>
  <c r="D3" i="30"/>
  <c r="G3" s="1"/>
  <c r="I3" s="1"/>
  <c r="K3" s="1"/>
  <c r="M3" s="1"/>
  <c r="O3" s="1"/>
  <c r="Q3" s="1"/>
  <c r="S3" s="1"/>
  <c r="U3" s="1"/>
  <c r="W3" s="1"/>
  <c r="C3" i="22"/>
  <c r="E3" s="1"/>
  <c r="G3" s="1"/>
  <c r="I3" s="1"/>
  <c r="K3" s="1"/>
  <c r="E3" i="21"/>
  <c r="F3" s="1"/>
  <c r="G3" s="1"/>
  <c r="H3" s="1"/>
  <c r="I3" s="1"/>
  <c r="B22" i="20"/>
  <c r="B21"/>
  <c r="B15"/>
  <c r="B14"/>
  <c r="G3"/>
  <c r="G19" s="1"/>
  <c r="C3" i="19"/>
  <c r="D3" s="1"/>
  <c r="E3" s="1"/>
  <c r="F3" s="1"/>
  <c r="G3" s="1"/>
  <c r="H3" s="1"/>
  <c r="I3" s="1"/>
  <c r="J3" s="1"/>
  <c r="K3" s="1"/>
  <c r="L3" s="1"/>
  <c r="B6" i="16"/>
  <c r="C6" s="1"/>
  <c r="D6" s="1"/>
  <c r="E6" s="1"/>
  <c r="F6" s="1"/>
  <c r="G6" s="1"/>
  <c r="H6" s="1"/>
  <c r="I6" s="1"/>
  <c r="J6" s="1"/>
  <c r="K6" s="1"/>
  <c r="L6" s="1"/>
  <c r="M6" s="1"/>
  <c r="N6" s="1"/>
  <c r="B4"/>
  <c r="B3"/>
  <c r="B2"/>
  <c r="B33"/>
  <c r="C33" s="1"/>
  <c r="D33" s="1"/>
  <c r="E33" s="1"/>
  <c r="F33" s="1"/>
  <c r="G33" s="1"/>
  <c r="H33" s="1"/>
  <c r="I33" s="1"/>
  <c r="J33" s="1"/>
  <c r="K33" s="1"/>
  <c r="B3" i="15"/>
  <c r="C3" s="1"/>
  <c r="D3" s="1"/>
  <c r="E3" s="1"/>
  <c r="F3" s="1"/>
  <c r="G3" s="1"/>
  <c r="H3" s="1"/>
  <c r="I3" s="1"/>
  <c r="J3" s="1"/>
  <c r="K3" s="1"/>
  <c r="B15" i="14"/>
  <c r="C15" s="1"/>
  <c r="D15" s="1"/>
  <c r="E15" s="1"/>
  <c r="F15" s="1"/>
  <c r="G15" s="1"/>
  <c r="H15" s="1"/>
  <c r="I15" s="1"/>
  <c r="B3" i="12"/>
  <c r="C3" s="1"/>
  <c r="D3" s="1"/>
  <c r="E3" s="1"/>
  <c r="F3" s="1"/>
  <c r="G3" s="1"/>
  <c r="H3" s="1"/>
  <c r="I3" s="1"/>
  <c r="J3" s="1"/>
  <c r="K3" s="1"/>
  <c r="B5" i="11"/>
  <c r="B13" s="1"/>
  <c r="B26" s="1"/>
  <c r="B40" s="1"/>
  <c r="B52" s="1"/>
  <c r="B59" s="1"/>
  <c r="A7" i="32"/>
  <c r="A8" s="1"/>
  <c r="A9" s="1"/>
  <c r="A10" s="1"/>
  <c r="A11" s="1"/>
  <c r="A12" s="1"/>
  <c r="A13" s="1"/>
  <c r="A14" s="1"/>
  <c r="A15" s="1"/>
  <c r="B16"/>
  <c r="C32" i="31"/>
  <c r="D32" s="1"/>
  <c r="E32" s="1"/>
  <c r="F32" s="1"/>
  <c r="G32" s="1"/>
  <c r="H32" s="1"/>
  <c r="I32" s="1"/>
  <c r="J32" s="1"/>
  <c r="F3" i="33"/>
  <c r="E3"/>
  <c r="D3"/>
  <c r="C3"/>
  <c r="B3"/>
  <c r="D13" i="8"/>
  <c r="I4" i="7"/>
  <c r="G3"/>
  <c r="H3" s="1"/>
  <c r="I3" s="1"/>
  <c r="J3" s="1"/>
  <c r="K3" s="1"/>
  <c r="L3" s="1"/>
  <c r="M3" s="1"/>
  <c r="N3" s="1"/>
  <c r="F3"/>
  <c r="K51"/>
  <c r="L51"/>
  <c r="M51"/>
  <c r="N51"/>
  <c r="D9" i="26"/>
  <c r="F9"/>
  <c r="I9"/>
  <c r="K9"/>
  <c r="N9"/>
  <c r="P9"/>
  <c r="S9"/>
  <c r="U9"/>
  <c r="D10"/>
  <c r="F10"/>
  <c r="I10"/>
  <c r="K10"/>
  <c r="N10"/>
  <c r="P10"/>
  <c r="S10"/>
  <c r="U10"/>
  <c r="D11"/>
  <c r="F11"/>
  <c r="I11"/>
  <c r="K11"/>
  <c r="N11"/>
  <c r="P11"/>
  <c r="S11"/>
  <c r="U11"/>
  <c r="D12"/>
  <c r="F12"/>
  <c r="I12"/>
  <c r="K12"/>
  <c r="N12"/>
  <c r="P12"/>
  <c r="S12"/>
  <c r="U12"/>
  <c r="D13"/>
  <c r="F13"/>
  <c r="I13"/>
  <c r="K13"/>
  <c r="N13"/>
  <c r="P13"/>
  <c r="S13"/>
  <c r="U13"/>
  <c r="E13" i="11"/>
  <c r="AA38" i="26"/>
  <c r="AB38"/>
  <c r="AC38"/>
  <c r="AD38"/>
  <c r="AE38"/>
  <c r="AF38"/>
  <c r="AG38"/>
  <c r="AH38"/>
  <c r="AI38"/>
  <c r="AJ38"/>
  <c r="AK38"/>
  <c r="AA39"/>
  <c r="AB39"/>
  <c r="AC39"/>
  <c r="AD39"/>
  <c r="AE39"/>
  <c r="AF39"/>
  <c r="AG39"/>
  <c r="AH39"/>
  <c r="AI39"/>
  <c r="AJ39"/>
  <c r="AK39"/>
  <c r="AA47"/>
  <c r="AB47"/>
  <c r="AC47"/>
  <c r="AD47"/>
  <c r="AE47"/>
  <c r="AF47"/>
  <c r="AG47"/>
  <c r="AH47"/>
  <c r="AI47"/>
  <c r="AJ47"/>
  <c r="AK47"/>
  <c r="AA48"/>
  <c r="AB48"/>
  <c r="AC48"/>
  <c r="AD48"/>
  <c r="AE48"/>
  <c r="AF48"/>
  <c r="AG48"/>
  <c r="AH48"/>
  <c r="AI48"/>
  <c r="AJ48"/>
  <c r="AK48"/>
  <c r="AA49"/>
  <c r="AB49"/>
  <c r="AC49"/>
  <c r="AD49"/>
  <c r="AE49"/>
  <c r="AF49"/>
  <c r="AG49"/>
  <c r="AH49"/>
  <c r="AI49"/>
  <c r="AJ49"/>
  <c r="AK49"/>
  <c r="Z38"/>
  <c r="Z39"/>
  <c r="Z47"/>
  <c r="Z48"/>
  <c r="Z49"/>
  <c r="V26"/>
  <c r="F19" i="33"/>
  <c r="F20"/>
  <c r="F21"/>
  <c r="F22"/>
  <c r="F23"/>
  <c r="F24"/>
  <c r="F25"/>
  <c r="F26"/>
  <c r="F27"/>
  <c r="F18"/>
  <c r="F11"/>
  <c r="F12"/>
  <c r="F13"/>
  <c r="F14"/>
  <c r="F10"/>
  <c r="C11"/>
  <c r="C12"/>
  <c r="C13"/>
  <c r="C14"/>
  <c r="C10"/>
  <c r="U25" i="26"/>
  <c r="U24"/>
  <c r="U23"/>
  <c r="U22"/>
  <c r="U21"/>
  <c r="U20"/>
  <c r="U19"/>
  <c r="U18"/>
  <c r="U17"/>
  <c r="U16"/>
  <c r="U14"/>
  <c r="U26"/>
  <c r="P25"/>
  <c r="P24"/>
  <c r="P23"/>
  <c r="P22"/>
  <c r="P21"/>
  <c r="P20"/>
  <c r="P19"/>
  <c r="P18"/>
  <c r="P17"/>
  <c r="P16"/>
  <c r="P14"/>
  <c r="P26"/>
  <c r="S25"/>
  <c r="S24"/>
  <c r="S23"/>
  <c r="S22"/>
  <c r="S21"/>
  <c r="S20"/>
  <c r="S19"/>
  <c r="S18"/>
  <c r="S17"/>
  <c r="S16"/>
  <c r="S26" s="1"/>
  <c r="S14"/>
  <c r="N25"/>
  <c r="N24"/>
  <c r="N23"/>
  <c r="N22"/>
  <c r="N21"/>
  <c r="N20"/>
  <c r="N19"/>
  <c r="N18"/>
  <c r="N17"/>
  <c r="N16"/>
  <c r="N26" s="1"/>
  <c r="N14"/>
  <c r="I25"/>
  <c r="I24"/>
  <c r="I23"/>
  <c r="I22"/>
  <c r="I21"/>
  <c r="I20"/>
  <c r="I19"/>
  <c r="I18"/>
  <c r="I17"/>
  <c r="I16"/>
  <c r="I26" s="1"/>
  <c r="I14"/>
  <c r="D14"/>
  <c r="D16"/>
  <c r="D17"/>
  <c r="D18"/>
  <c r="D19"/>
  <c r="D20"/>
  <c r="D21"/>
  <c r="D22"/>
  <c r="D23"/>
  <c r="D24"/>
  <c r="D25"/>
  <c r="K25"/>
  <c r="K24"/>
  <c r="K23"/>
  <c r="K22"/>
  <c r="K21"/>
  <c r="K20"/>
  <c r="K19"/>
  <c r="K18"/>
  <c r="K17"/>
  <c r="K16"/>
  <c r="K14"/>
  <c r="F14"/>
  <c r="F16"/>
  <c r="F17"/>
  <c r="F18"/>
  <c r="F19"/>
  <c r="F20"/>
  <c r="F21"/>
  <c r="F22"/>
  <c r="F23"/>
  <c r="F24"/>
  <c r="F25"/>
  <c r="C27" i="12"/>
  <c r="D27"/>
  <c r="E27"/>
  <c r="F27"/>
  <c r="B27"/>
  <c r="C24"/>
  <c r="D24"/>
  <c r="E24"/>
  <c r="F24"/>
  <c r="B24"/>
  <c r="C21"/>
  <c r="D21"/>
  <c r="E21"/>
  <c r="F21"/>
  <c r="B21"/>
  <c r="C18"/>
  <c r="D18"/>
  <c r="E18"/>
  <c r="F18"/>
  <c r="B18"/>
  <c r="C15"/>
  <c r="D15"/>
  <c r="E15"/>
  <c r="F15"/>
  <c r="B15"/>
  <c r="C12"/>
  <c r="D12"/>
  <c r="E12"/>
  <c r="F12"/>
  <c r="B12"/>
  <c r="C9"/>
  <c r="D9"/>
  <c r="E9"/>
  <c r="F9"/>
  <c r="B9"/>
  <c r="G27"/>
  <c r="H27" s="1"/>
  <c r="I27" s="1"/>
  <c r="J27" s="1"/>
  <c r="K27" s="1"/>
  <c r="G24"/>
  <c r="H24" s="1"/>
  <c r="I24" s="1"/>
  <c r="J24" s="1"/>
  <c r="K24" s="1"/>
  <c r="G21"/>
  <c r="H21" s="1"/>
  <c r="I21" s="1"/>
  <c r="J21" s="1"/>
  <c r="K21" s="1"/>
  <c r="G18"/>
  <c r="H18" s="1"/>
  <c r="I18" s="1"/>
  <c r="J18" s="1"/>
  <c r="K18" s="1"/>
  <c r="G15"/>
  <c r="H15" s="1"/>
  <c r="I15" s="1"/>
  <c r="J15" s="1"/>
  <c r="K15" s="1"/>
  <c r="G12"/>
  <c r="H12" s="1"/>
  <c r="I12" s="1"/>
  <c r="J12" s="1"/>
  <c r="K12" s="1"/>
  <c r="G9"/>
  <c r="H9" s="1"/>
  <c r="I9" s="1"/>
  <c r="J9" s="1"/>
  <c r="K9" s="1"/>
  <c r="C6"/>
  <c r="D6"/>
  <c r="E6"/>
  <c r="F6"/>
  <c r="G6" s="1"/>
  <c r="H6" s="1"/>
  <c r="I6" s="1"/>
  <c r="J6" s="1"/>
  <c r="K6" s="1"/>
  <c r="B6"/>
  <c r="AB10" i="26"/>
  <c r="AB11"/>
  <c r="AB12"/>
  <c r="AB13"/>
  <c r="AB14"/>
  <c r="AB16"/>
  <c r="AB17"/>
  <c r="AB18"/>
  <c r="AB19"/>
  <c r="AB20"/>
  <c r="AB21"/>
  <c r="AB22"/>
  <c r="AB23"/>
  <c r="AB24"/>
  <c r="AB25"/>
  <c r="AB9"/>
  <c r="AB26" s="1"/>
  <c r="AA10"/>
  <c r="AA11"/>
  <c r="AA12"/>
  <c r="AA13"/>
  <c r="AA14"/>
  <c r="AA16"/>
  <c r="AA17"/>
  <c r="AA18"/>
  <c r="AA19"/>
  <c r="AA20"/>
  <c r="AA21"/>
  <c r="AA22"/>
  <c r="AA23"/>
  <c r="AA24"/>
  <c r="AA25"/>
  <c r="AA9"/>
  <c r="Z10"/>
  <c r="Z11"/>
  <c r="Z12"/>
  <c r="Z13"/>
  <c r="Z14"/>
  <c r="Z16"/>
  <c r="Z17"/>
  <c r="Z18"/>
  <c r="Z19"/>
  <c r="Z20"/>
  <c r="Z21"/>
  <c r="Z22"/>
  <c r="Z23"/>
  <c r="Z24"/>
  <c r="Z25"/>
  <c r="Z9"/>
  <c r="A8" i="11"/>
  <c r="A9"/>
  <c r="A10"/>
  <c r="A11"/>
  <c r="A12"/>
  <c r="A7"/>
  <c r="K56"/>
  <c r="K57"/>
  <c r="K58"/>
  <c r="K55"/>
  <c r="K44"/>
  <c r="K45"/>
  <c r="K46"/>
  <c r="K47"/>
  <c r="K48"/>
  <c r="K49"/>
  <c r="K50"/>
  <c r="K51"/>
  <c r="K43"/>
  <c r="K30"/>
  <c r="K31"/>
  <c r="K32"/>
  <c r="K33"/>
  <c r="K34"/>
  <c r="K35"/>
  <c r="K36"/>
  <c r="K37"/>
  <c r="K38"/>
  <c r="K39"/>
  <c r="K29"/>
  <c r="K17"/>
  <c r="K18"/>
  <c r="K19"/>
  <c r="K20"/>
  <c r="K21"/>
  <c r="K22"/>
  <c r="K23"/>
  <c r="K24"/>
  <c r="K25"/>
  <c r="K16"/>
  <c r="K8"/>
  <c r="K9"/>
  <c r="K10"/>
  <c r="K11"/>
  <c r="K12"/>
  <c r="K7"/>
  <c r="G56"/>
  <c r="M56" s="1"/>
  <c r="G57"/>
  <c r="M57" s="1"/>
  <c r="G58"/>
  <c r="M58" s="1"/>
  <c r="G55"/>
  <c r="M55" s="1"/>
  <c r="D56"/>
  <c r="D57"/>
  <c r="D58"/>
  <c r="D55"/>
  <c r="C56"/>
  <c r="C57"/>
  <c r="C58"/>
  <c r="C55"/>
  <c r="A56"/>
  <c r="A57"/>
  <c r="A58"/>
  <c r="A55"/>
  <c r="E59"/>
  <c r="D59"/>
  <c r="F55"/>
  <c r="H55" s="1"/>
  <c r="F56"/>
  <c r="H56" s="1"/>
  <c r="F57"/>
  <c r="H57" s="1"/>
  <c r="F58"/>
  <c r="H58" s="1"/>
  <c r="F59"/>
  <c r="G44"/>
  <c r="M44" s="1"/>
  <c r="G45"/>
  <c r="M45" s="1"/>
  <c r="G46"/>
  <c r="M46" s="1"/>
  <c r="G47"/>
  <c r="M47" s="1"/>
  <c r="G48"/>
  <c r="M48" s="1"/>
  <c r="G49"/>
  <c r="M49" s="1"/>
  <c r="G50"/>
  <c r="M50" s="1"/>
  <c r="G51"/>
  <c r="M51" s="1"/>
  <c r="G43"/>
  <c r="M43" s="1"/>
  <c r="D44"/>
  <c r="D45"/>
  <c r="D46"/>
  <c r="D47"/>
  <c r="D48"/>
  <c r="D49"/>
  <c r="D50"/>
  <c r="D51"/>
  <c r="D43"/>
  <c r="C44"/>
  <c r="C45"/>
  <c r="C46"/>
  <c r="C47"/>
  <c r="C48"/>
  <c r="C49"/>
  <c r="C50"/>
  <c r="C51"/>
  <c r="C43"/>
  <c r="E52"/>
  <c r="D52"/>
  <c r="F44"/>
  <c r="H44" s="1"/>
  <c r="F45"/>
  <c r="H45" s="1"/>
  <c r="F46"/>
  <c r="H46" s="1"/>
  <c r="F47"/>
  <c r="H47" s="1"/>
  <c r="F48"/>
  <c r="H48" s="1"/>
  <c r="F49"/>
  <c r="H49" s="1"/>
  <c r="F50"/>
  <c r="H50" s="1"/>
  <c r="F51"/>
  <c r="L51" s="1"/>
  <c r="N51" s="1"/>
  <c r="F43"/>
  <c r="H43" s="1"/>
  <c r="A44"/>
  <c r="A45"/>
  <c r="A46"/>
  <c r="A47"/>
  <c r="A48"/>
  <c r="A49"/>
  <c r="A50"/>
  <c r="A51"/>
  <c r="A43"/>
  <c r="G30"/>
  <c r="M30" s="1"/>
  <c r="G31"/>
  <c r="M31" s="1"/>
  <c r="G32"/>
  <c r="M32" s="1"/>
  <c r="G33"/>
  <c r="M33" s="1"/>
  <c r="G34"/>
  <c r="M34" s="1"/>
  <c r="G35"/>
  <c r="M35" s="1"/>
  <c r="G36"/>
  <c r="M36" s="1"/>
  <c r="G37"/>
  <c r="M37" s="1"/>
  <c r="G38"/>
  <c r="M38" s="1"/>
  <c r="G39"/>
  <c r="M39" s="1"/>
  <c r="G29"/>
  <c r="M29" s="1"/>
  <c r="D30"/>
  <c r="F30" s="1"/>
  <c r="H30" s="1"/>
  <c r="D31"/>
  <c r="F31" s="1"/>
  <c r="H31" s="1"/>
  <c r="D32"/>
  <c r="F32" s="1"/>
  <c r="H32" s="1"/>
  <c r="D33"/>
  <c r="F33" s="1"/>
  <c r="H33" s="1"/>
  <c r="D34"/>
  <c r="F34" s="1"/>
  <c r="H34" s="1"/>
  <c r="D35"/>
  <c r="F35" s="1"/>
  <c r="H35" s="1"/>
  <c r="D36"/>
  <c r="F36" s="1"/>
  <c r="H36" s="1"/>
  <c r="D37"/>
  <c r="F37" s="1"/>
  <c r="H37" s="1"/>
  <c r="D38"/>
  <c r="F38" s="1"/>
  <c r="H38" s="1"/>
  <c r="D39"/>
  <c r="F39" s="1"/>
  <c r="H39" s="1"/>
  <c r="D29"/>
  <c r="F29" s="1"/>
  <c r="H29" s="1"/>
  <c r="C17"/>
  <c r="C18"/>
  <c r="C19"/>
  <c r="C20"/>
  <c r="C21"/>
  <c r="C22"/>
  <c r="C23"/>
  <c r="C24"/>
  <c r="C25"/>
  <c r="C16"/>
  <c r="C30"/>
  <c r="C31"/>
  <c r="C32"/>
  <c r="C33"/>
  <c r="C34"/>
  <c r="C35"/>
  <c r="C36"/>
  <c r="C37"/>
  <c r="C38"/>
  <c r="C39"/>
  <c r="C29"/>
  <c r="A30"/>
  <c r="A31"/>
  <c r="A32"/>
  <c r="A33"/>
  <c r="A34"/>
  <c r="A35"/>
  <c r="A36"/>
  <c r="A37"/>
  <c r="A38"/>
  <c r="A39"/>
  <c r="A29"/>
  <c r="E26"/>
  <c r="G17"/>
  <c r="M17" s="1"/>
  <c r="G18"/>
  <c r="M18" s="1"/>
  <c r="G19"/>
  <c r="M19" s="1"/>
  <c r="G20"/>
  <c r="M20" s="1"/>
  <c r="G21"/>
  <c r="M21" s="1"/>
  <c r="G22"/>
  <c r="M22" s="1"/>
  <c r="G23"/>
  <c r="M23" s="1"/>
  <c r="G24"/>
  <c r="M24" s="1"/>
  <c r="G25"/>
  <c r="M25" s="1"/>
  <c r="G16"/>
  <c r="M16" s="1"/>
  <c r="A17"/>
  <c r="D17"/>
  <c r="F17" s="1"/>
  <c r="H17" s="1"/>
  <c r="A18"/>
  <c r="D18"/>
  <c r="F18" s="1"/>
  <c r="H18" s="1"/>
  <c r="A19"/>
  <c r="D19"/>
  <c r="F19" s="1"/>
  <c r="H19" s="1"/>
  <c r="A20"/>
  <c r="D20"/>
  <c r="F20" s="1"/>
  <c r="H20" s="1"/>
  <c r="A21"/>
  <c r="D21"/>
  <c r="F21" s="1"/>
  <c r="H21" s="1"/>
  <c r="A22"/>
  <c r="D22"/>
  <c r="F22" s="1"/>
  <c r="H22" s="1"/>
  <c r="A23"/>
  <c r="D23"/>
  <c r="F23" s="1"/>
  <c r="H23" s="1"/>
  <c r="A24"/>
  <c r="D24"/>
  <c r="F24" s="1"/>
  <c r="H24" s="1"/>
  <c r="A25"/>
  <c r="D25"/>
  <c r="F25" s="1"/>
  <c r="H25" s="1"/>
  <c r="D16"/>
  <c r="F16" s="1"/>
  <c r="H16" s="1"/>
  <c r="A16"/>
  <c r="G8"/>
  <c r="M8" s="1"/>
  <c r="G9"/>
  <c r="M9" s="1"/>
  <c r="G10"/>
  <c r="M10" s="1"/>
  <c r="G11"/>
  <c r="M11" s="1"/>
  <c r="G12"/>
  <c r="M12" s="1"/>
  <c r="G7"/>
  <c r="M7" s="1"/>
  <c r="D8"/>
  <c r="F8" s="1"/>
  <c r="H8" s="1"/>
  <c r="D9"/>
  <c r="F9" s="1"/>
  <c r="H9" s="1"/>
  <c r="D10"/>
  <c r="F10" s="1"/>
  <c r="H10" s="1"/>
  <c r="D11"/>
  <c r="F11" s="1"/>
  <c r="H11" s="1"/>
  <c r="D12"/>
  <c r="F12" s="1"/>
  <c r="H12" s="1"/>
  <c r="D7"/>
  <c r="F7" s="1"/>
  <c r="H7" s="1"/>
  <c r="C8"/>
  <c r="C9"/>
  <c r="C10"/>
  <c r="C11"/>
  <c r="C12"/>
  <c r="C7"/>
  <c r="E33" i="31"/>
  <c r="F33"/>
  <c r="G33"/>
  <c r="H33"/>
  <c r="I33"/>
  <c r="J33"/>
  <c r="D33"/>
  <c r="E39" i="26"/>
  <c r="A50"/>
  <c r="A47"/>
  <c r="B47"/>
  <c r="C47"/>
  <c r="A48"/>
  <c r="B48"/>
  <c r="C48"/>
  <c r="A49"/>
  <c r="B49"/>
  <c r="C49"/>
  <c r="A33"/>
  <c r="B33"/>
  <c r="C33"/>
  <c r="A34"/>
  <c r="B34"/>
  <c r="C34"/>
  <c r="A35"/>
  <c r="B35"/>
  <c r="C35"/>
  <c r="A36"/>
  <c r="B36"/>
  <c r="C36"/>
  <c r="A37"/>
  <c r="B37"/>
  <c r="C37"/>
  <c r="A38"/>
  <c r="B38"/>
  <c r="C38"/>
  <c r="A39"/>
  <c r="A40"/>
  <c r="B40"/>
  <c r="C40"/>
  <c r="A41"/>
  <c r="B41"/>
  <c r="C41"/>
  <c r="A42"/>
  <c r="B42"/>
  <c r="C42"/>
  <c r="A43"/>
  <c r="B43"/>
  <c r="C43"/>
  <c r="A44"/>
  <c r="B44"/>
  <c r="C44"/>
  <c r="A45"/>
  <c r="B45"/>
  <c r="C45"/>
  <c r="A46"/>
  <c r="B46"/>
  <c r="C46"/>
  <c r="A32"/>
  <c r="H3" i="20" l="1"/>
  <c r="A6" i="32"/>
  <c r="T26" i="26"/>
  <c r="O26"/>
  <c r="D13" i="11"/>
  <c r="F13"/>
  <c r="D26" i="26"/>
  <c r="E46"/>
  <c r="E38"/>
  <c r="E37"/>
  <c r="E49"/>
  <c r="E48"/>
  <c r="E47"/>
  <c r="F26"/>
  <c r="K26"/>
  <c r="E45"/>
  <c r="E40"/>
  <c r="E43"/>
  <c r="E41"/>
  <c r="E36"/>
  <c r="E35"/>
  <c r="E44"/>
  <c r="E42"/>
  <c r="Z26"/>
  <c r="D6" i="32" s="1"/>
  <c r="AA26" i="26"/>
  <c r="D7" i="32" s="1"/>
  <c r="E34" i="26"/>
  <c r="E33"/>
  <c r="L7" i="11"/>
  <c r="L12"/>
  <c r="N12" s="1"/>
  <c r="L11"/>
  <c r="N11" s="1"/>
  <c r="L10"/>
  <c r="N10" s="1"/>
  <c r="L9"/>
  <c r="N9" s="1"/>
  <c r="L8"/>
  <c r="N8" s="1"/>
  <c r="L16"/>
  <c r="L17"/>
  <c r="N17" s="1"/>
  <c r="L18"/>
  <c r="N18" s="1"/>
  <c r="L19"/>
  <c r="N19" s="1"/>
  <c r="L20"/>
  <c r="N20" s="1"/>
  <c r="L21"/>
  <c r="N21" s="1"/>
  <c r="L22"/>
  <c r="N22" s="1"/>
  <c r="L23"/>
  <c r="N23" s="1"/>
  <c r="L24"/>
  <c r="N24" s="1"/>
  <c r="L25"/>
  <c r="N25" s="1"/>
  <c r="L29"/>
  <c r="L30"/>
  <c r="N30" s="1"/>
  <c r="L31"/>
  <c r="N31" s="1"/>
  <c r="L32"/>
  <c r="N32" s="1"/>
  <c r="L33"/>
  <c r="N33" s="1"/>
  <c r="L34"/>
  <c r="N34" s="1"/>
  <c r="L35"/>
  <c r="N35" s="1"/>
  <c r="L36"/>
  <c r="N36" s="1"/>
  <c r="L37"/>
  <c r="N37" s="1"/>
  <c r="L38"/>
  <c r="N38" s="1"/>
  <c r="L39"/>
  <c r="N39" s="1"/>
  <c r="L43"/>
  <c r="L44"/>
  <c r="N44" s="1"/>
  <c r="L45"/>
  <c r="N45" s="1"/>
  <c r="L46"/>
  <c r="N46" s="1"/>
  <c r="L47"/>
  <c r="N47" s="1"/>
  <c r="L48"/>
  <c r="N48" s="1"/>
  <c r="L49"/>
  <c r="N49" s="1"/>
  <c r="L50"/>
  <c r="N50" s="1"/>
  <c r="L55"/>
  <c r="L56"/>
  <c r="N56" s="1"/>
  <c r="L57"/>
  <c r="N57" s="1"/>
  <c r="L58"/>
  <c r="N58" s="1"/>
  <c r="F52"/>
  <c r="D26"/>
  <c r="F26"/>
  <c r="E50" i="26"/>
  <c r="G26"/>
  <c r="H26" s="1"/>
  <c r="C32" i="33" s="1"/>
  <c r="L26" i="26"/>
  <c r="M26" s="1"/>
  <c r="D32" i="33" s="1"/>
  <c r="Q26" i="26"/>
  <c r="R26" s="1"/>
  <c r="E32" i="33" s="1"/>
  <c r="B26" i="26"/>
  <c r="B50" s="1"/>
  <c r="B19" i="33"/>
  <c r="C19"/>
  <c r="D19"/>
  <c r="E19"/>
  <c r="B20"/>
  <c r="C20"/>
  <c r="D20"/>
  <c r="E20"/>
  <c r="B21"/>
  <c r="C21"/>
  <c r="D21"/>
  <c r="E21"/>
  <c r="B22"/>
  <c r="C22"/>
  <c r="D22"/>
  <c r="E22"/>
  <c r="B23"/>
  <c r="C23"/>
  <c r="D23"/>
  <c r="E23"/>
  <c r="B24"/>
  <c r="C24"/>
  <c r="D24"/>
  <c r="E24"/>
  <c r="B25"/>
  <c r="C25"/>
  <c r="D25"/>
  <c r="E25"/>
  <c r="B26"/>
  <c r="C26"/>
  <c r="D26"/>
  <c r="E26"/>
  <c r="B27"/>
  <c r="C27"/>
  <c r="D27"/>
  <c r="E27"/>
  <c r="E18"/>
  <c r="D18"/>
  <c r="D28" s="1"/>
  <c r="C18"/>
  <c r="B18"/>
  <c r="B28" s="1"/>
  <c r="B11"/>
  <c r="D11"/>
  <c r="E11"/>
  <c r="B12"/>
  <c r="D12"/>
  <c r="E12"/>
  <c r="B13"/>
  <c r="D13"/>
  <c r="E13"/>
  <c r="B14"/>
  <c r="D14"/>
  <c r="E14"/>
  <c r="E10"/>
  <c r="D10"/>
  <c r="D15" s="1"/>
  <c r="D30" s="1"/>
  <c r="B10"/>
  <c r="B15" s="1"/>
  <c r="B30" s="1"/>
  <c r="E16" i="10"/>
  <c r="C17" i="31" s="1"/>
  <c r="E17" i="10"/>
  <c r="C18" i="31" s="1"/>
  <c r="E18" i="10"/>
  <c r="C19" i="31" s="1"/>
  <c r="E19" i="10"/>
  <c r="C20" i="31" s="1"/>
  <c r="E20" i="10"/>
  <c r="C21" i="31" s="1"/>
  <c r="E21" i="10"/>
  <c r="C22" i="31" s="1"/>
  <c r="E22" i="10"/>
  <c r="C23" i="31" s="1"/>
  <c r="E23" i="10"/>
  <c r="C24" i="31" s="1"/>
  <c r="E24" i="10"/>
  <c r="C25" i="31" s="1"/>
  <c r="E15" i="10"/>
  <c r="C16" i="31" s="1"/>
  <c r="E8" i="10"/>
  <c r="C9" i="31" s="1"/>
  <c r="E9" i="10"/>
  <c r="C10" i="31" s="1"/>
  <c r="E10" i="10"/>
  <c r="C11" i="31" s="1"/>
  <c r="E11" i="10"/>
  <c r="C12" i="31" s="1"/>
  <c r="E7" i="10"/>
  <c r="C8" i="31" s="1"/>
  <c r="C16" i="10"/>
  <c r="C17"/>
  <c r="C18"/>
  <c r="C19"/>
  <c r="C20"/>
  <c r="C21"/>
  <c r="C22"/>
  <c r="C23"/>
  <c r="C24"/>
  <c r="C15"/>
  <c r="C8"/>
  <c r="C9"/>
  <c r="C10"/>
  <c r="C11"/>
  <c r="C7"/>
  <c r="I8" i="33"/>
  <c r="I29"/>
  <c r="A27"/>
  <c r="A26"/>
  <c r="A25"/>
  <c r="A24"/>
  <c r="A23"/>
  <c r="A22"/>
  <c r="A21"/>
  <c r="A20"/>
  <c r="A19"/>
  <c r="A18"/>
  <c r="A14"/>
  <c r="A13"/>
  <c r="A12"/>
  <c r="A11"/>
  <c r="A10"/>
  <c r="A17" i="31"/>
  <c r="A18"/>
  <c r="A19"/>
  <c r="A20"/>
  <c r="A21"/>
  <c r="A22"/>
  <c r="A23"/>
  <c r="A24"/>
  <c r="A25"/>
  <c r="A9"/>
  <c r="A10"/>
  <c r="A11"/>
  <c r="A12"/>
  <c r="A16" i="10"/>
  <c r="A17"/>
  <c r="A18"/>
  <c r="A19"/>
  <c r="A20"/>
  <c r="A21"/>
  <c r="A22"/>
  <c r="A23"/>
  <c r="A24"/>
  <c r="A8"/>
  <c r="A9"/>
  <c r="A10"/>
  <c r="A11"/>
  <c r="H13" i="9"/>
  <c r="H14"/>
  <c r="H15"/>
  <c r="H16"/>
  <c r="H17"/>
  <c r="H18"/>
  <c r="H19"/>
  <c r="H20"/>
  <c r="H21"/>
  <c r="F13"/>
  <c r="F14"/>
  <c r="F15"/>
  <c r="F16"/>
  <c r="F17"/>
  <c r="F18"/>
  <c r="F19"/>
  <c r="F20"/>
  <c r="F21"/>
  <c r="C13"/>
  <c r="C14"/>
  <c r="C15"/>
  <c r="C16"/>
  <c r="C17"/>
  <c r="C18"/>
  <c r="C19"/>
  <c r="C20"/>
  <c r="C21"/>
  <c r="B13"/>
  <c r="B14"/>
  <c r="B15"/>
  <c r="B16"/>
  <c r="B17"/>
  <c r="B18"/>
  <c r="B19"/>
  <c r="B20"/>
  <c r="B21"/>
  <c r="D17"/>
  <c r="D18"/>
  <c r="D19"/>
  <c r="D20"/>
  <c r="D21"/>
  <c r="A13"/>
  <c r="A14"/>
  <c r="A15"/>
  <c r="A16"/>
  <c r="A17"/>
  <c r="A18"/>
  <c r="A19"/>
  <c r="A20"/>
  <c r="A21"/>
  <c r="H7"/>
  <c r="H8"/>
  <c r="H9"/>
  <c r="H10"/>
  <c r="F7"/>
  <c r="F8"/>
  <c r="F9"/>
  <c r="F10"/>
  <c r="C7"/>
  <c r="C8"/>
  <c r="C9"/>
  <c r="C10"/>
  <c r="B7"/>
  <c r="B8"/>
  <c r="B9"/>
  <c r="B10"/>
  <c r="A7"/>
  <c r="A8"/>
  <c r="A9"/>
  <c r="A10"/>
  <c r="D7"/>
  <c r="D8"/>
  <c r="D9"/>
  <c r="D10"/>
  <c r="H19" i="20" l="1"/>
  <c r="I3"/>
  <c r="F32" i="33"/>
  <c r="F15"/>
  <c r="F28"/>
  <c r="AA42" i="26"/>
  <c r="AB42"/>
  <c r="AC42"/>
  <c r="AD42"/>
  <c r="AE42"/>
  <c r="AF42"/>
  <c r="AG42"/>
  <c r="AH42"/>
  <c r="AI42"/>
  <c r="AJ42"/>
  <c r="AK42"/>
  <c r="Z42"/>
  <c r="AA44"/>
  <c r="AB44"/>
  <c r="AC44"/>
  <c r="AD44"/>
  <c r="AE44"/>
  <c r="AF44"/>
  <c r="AG44"/>
  <c r="AH44"/>
  <c r="AI44"/>
  <c r="AJ44"/>
  <c r="AK44"/>
  <c r="Z44"/>
  <c r="AA41"/>
  <c r="AB41"/>
  <c r="AC41"/>
  <c r="AD41"/>
  <c r="AE41"/>
  <c r="AF41"/>
  <c r="AG41"/>
  <c r="AH41"/>
  <c r="AI41"/>
  <c r="AJ41"/>
  <c r="AK41"/>
  <c r="Z41"/>
  <c r="AA43"/>
  <c r="AB43"/>
  <c r="AC43"/>
  <c r="AD43"/>
  <c r="AE43"/>
  <c r="AF43"/>
  <c r="AG43"/>
  <c r="AH43"/>
  <c r="AI43"/>
  <c r="AJ43"/>
  <c r="AK43"/>
  <c r="Z43"/>
  <c r="AA40"/>
  <c r="AB40"/>
  <c r="AC40"/>
  <c r="AD40"/>
  <c r="AE40"/>
  <c r="AF40"/>
  <c r="AG40"/>
  <c r="AH40"/>
  <c r="AI40"/>
  <c r="AJ40"/>
  <c r="AK40"/>
  <c r="Z40"/>
  <c r="AA45"/>
  <c r="AB45"/>
  <c r="AC45"/>
  <c r="AD45"/>
  <c r="AE45"/>
  <c r="AF45"/>
  <c r="AG45"/>
  <c r="AH45"/>
  <c r="AI45"/>
  <c r="AJ45"/>
  <c r="AK45"/>
  <c r="Z45"/>
  <c r="AA46"/>
  <c r="AB46"/>
  <c r="AC46"/>
  <c r="AD46"/>
  <c r="AE46"/>
  <c r="AF46"/>
  <c r="AG46"/>
  <c r="AH46"/>
  <c r="AI46"/>
  <c r="AJ46"/>
  <c r="AK46"/>
  <c r="Z46"/>
  <c r="AA33"/>
  <c r="AB33"/>
  <c r="AC33"/>
  <c r="AD33"/>
  <c r="AE33"/>
  <c r="AF33"/>
  <c r="AG33"/>
  <c r="AH33"/>
  <c r="AI33"/>
  <c r="AJ33"/>
  <c r="AK33"/>
  <c r="Z33"/>
  <c r="AA34"/>
  <c r="AB34"/>
  <c r="AC34"/>
  <c r="AD34"/>
  <c r="AE34"/>
  <c r="AF34"/>
  <c r="AG34"/>
  <c r="AH34"/>
  <c r="AI34"/>
  <c r="AJ34"/>
  <c r="AK34"/>
  <c r="Z34"/>
  <c r="AA35"/>
  <c r="AB35"/>
  <c r="AC35"/>
  <c r="AD35"/>
  <c r="AE35"/>
  <c r="AF35"/>
  <c r="AG35"/>
  <c r="AH35"/>
  <c r="AI35"/>
  <c r="AJ35"/>
  <c r="AK35"/>
  <c r="Z35"/>
  <c r="AA36"/>
  <c r="AB36"/>
  <c r="AC36"/>
  <c r="AD36"/>
  <c r="AE36"/>
  <c r="AF36"/>
  <c r="AG36"/>
  <c r="AH36"/>
  <c r="AI36"/>
  <c r="AJ36"/>
  <c r="AK36"/>
  <c r="Z36"/>
  <c r="AA37"/>
  <c r="AB37"/>
  <c r="AC37"/>
  <c r="AD37"/>
  <c r="AE37"/>
  <c r="AF37"/>
  <c r="AG37"/>
  <c r="AH37"/>
  <c r="AI37"/>
  <c r="AJ37"/>
  <c r="AK37"/>
  <c r="Z37"/>
  <c r="J26"/>
  <c r="C26"/>
  <c r="E26" s="1"/>
  <c r="E10" i="9"/>
  <c r="B12" i="31"/>
  <c r="E9" i="9"/>
  <c r="B11" i="31"/>
  <c r="E8" i="9"/>
  <c r="B10" i="31"/>
  <c r="E7" i="9"/>
  <c r="B9" i="31"/>
  <c r="E21" i="9"/>
  <c r="B25" i="31"/>
  <c r="E20" i="9"/>
  <c r="B24" i="31"/>
  <c r="E19" i="9"/>
  <c r="B23" i="31"/>
  <c r="E18" i="9"/>
  <c r="B22" i="31"/>
  <c r="E17" i="9"/>
  <c r="B21" i="31"/>
  <c r="E16" i="9"/>
  <c r="B20" i="31"/>
  <c r="E15" i="9"/>
  <c r="B19" i="31"/>
  <c r="E14" i="9"/>
  <c r="B18" i="31"/>
  <c r="E13" i="9"/>
  <c r="B17" i="31"/>
  <c r="C50" i="26"/>
  <c r="B32" i="33"/>
  <c r="I32" s="1"/>
  <c r="W26" i="26"/>
  <c r="C6" i="31" s="1"/>
  <c r="M5" i="11" s="1"/>
  <c r="N55"/>
  <c r="L59"/>
  <c r="N43"/>
  <c r="L52"/>
  <c r="N29"/>
  <c r="L40"/>
  <c r="N16"/>
  <c r="L26"/>
  <c r="L13"/>
  <c r="N7"/>
  <c r="D12" i="31"/>
  <c r="D11"/>
  <c r="D10"/>
  <c r="D9"/>
  <c r="E15" i="33"/>
  <c r="C15"/>
  <c r="E28"/>
  <c r="C28"/>
  <c r="D6"/>
  <c r="B6" i="32" s="1"/>
  <c r="I10" i="33"/>
  <c r="I11"/>
  <c r="I12"/>
  <c r="I13"/>
  <c r="I14"/>
  <c r="I18"/>
  <c r="I19"/>
  <c r="I20"/>
  <c r="I21"/>
  <c r="I22"/>
  <c r="I23"/>
  <c r="I24"/>
  <c r="I25"/>
  <c r="I26"/>
  <c r="I27"/>
  <c r="D25" i="31"/>
  <c r="B24" i="10"/>
  <c r="G21" i="9"/>
  <c r="I21"/>
  <c r="D24" i="31"/>
  <c r="B23" i="10"/>
  <c r="G20" i="9"/>
  <c r="I20"/>
  <c r="D23" i="31"/>
  <c r="B22" i="10"/>
  <c r="G19" i="9"/>
  <c r="I19"/>
  <c r="D22" i="31"/>
  <c r="B21" i="10"/>
  <c r="G18" i="9"/>
  <c r="I18"/>
  <c r="D21" i="31"/>
  <c r="B20" i="10"/>
  <c r="G17" i="9"/>
  <c r="D20" i="31"/>
  <c r="B19" i="10"/>
  <c r="D19" i="31"/>
  <c r="B18" i="10"/>
  <c r="D18" i="31"/>
  <c r="B17" i="10"/>
  <c r="D17" i="31"/>
  <c r="B16" i="10"/>
  <c r="B11"/>
  <c r="B10"/>
  <c r="B9"/>
  <c r="B8"/>
  <c r="G10" i="9"/>
  <c r="I10"/>
  <c r="G9"/>
  <c r="I9"/>
  <c r="G8"/>
  <c r="I8"/>
  <c r="G7"/>
  <c r="I7"/>
  <c r="E7" i="32"/>
  <c r="F6"/>
  <c r="A16" i="31"/>
  <c r="A8"/>
  <c r="I19" i="20" l="1"/>
  <c r="J3"/>
  <c r="F30" i="33"/>
  <c r="G30" s="1"/>
  <c r="Z50" i="26"/>
  <c r="G50" s="1"/>
  <c r="G51" s="1"/>
  <c r="AK50"/>
  <c r="R50" s="1"/>
  <c r="R51" s="1"/>
  <c r="AJ50"/>
  <c r="Q50" s="1"/>
  <c r="Q51" s="1"/>
  <c r="AI50"/>
  <c r="P50" s="1"/>
  <c r="AH50"/>
  <c r="O50" s="1"/>
  <c r="O51" s="1"/>
  <c r="AG50"/>
  <c r="N50" s="1"/>
  <c r="AF50"/>
  <c r="M50" s="1"/>
  <c r="M51" s="1"/>
  <c r="AE50"/>
  <c r="L50" s="1"/>
  <c r="L51" s="1"/>
  <c r="AD50"/>
  <c r="K50" s="1"/>
  <c r="AC50"/>
  <c r="J50" s="1"/>
  <c r="J51" s="1"/>
  <c r="AB50"/>
  <c r="I50" s="1"/>
  <c r="AA50"/>
  <c r="H50" s="1"/>
  <c r="H51" s="1"/>
  <c r="B6" i="33"/>
  <c r="E17" i="31"/>
  <c r="F17"/>
  <c r="G17"/>
  <c r="H17"/>
  <c r="I17"/>
  <c r="J17"/>
  <c r="K17"/>
  <c r="L17"/>
  <c r="E18"/>
  <c r="F18"/>
  <c r="G18"/>
  <c r="H18"/>
  <c r="I18"/>
  <c r="J18"/>
  <c r="K18"/>
  <c r="L18"/>
  <c r="E19"/>
  <c r="F19"/>
  <c r="G19"/>
  <c r="H19"/>
  <c r="I19"/>
  <c r="J19"/>
  <c r="K19"/>
  <c r="L19"/>
  <c r="E20"/>
  <c r="F20"/>
  <c r="G20"/>
  <c r="H20"/>
  <c r="I20"/>
  <c r="J20"/>
  <c r="K20"/>
  <c r="L20"/>
  <c r="E21"/>
  <c r="F21"/>
  <c r="G21"/>
  <c r="H21"/>
  <c r="I21"/>
  <c r="J21"/>
  <c r="K21"/>
  <c r="L21"/>
  <c r="E22"/>
  <c r="F22"/>
  <c r="G22"/>
  <c r="H22"/>
  <c r="I22"/>
  <c r="J22"/>
  <c r="K22"/>
  <c r="L22"/>
  <c r="E23"/>
  <c r="F23"/>
  <c r="G23"/>
  <c r="H23"/>
  <c r="I23"/>
  <c r="J23"/>
  <c r="K23"/>
  <c r="L23"/>
  <c r="E24"/>
  <c r="F24"/>
  <c r="G24"/>
  <c r="H24"/>
  <c r="I24"/>
  <c r="J24"/>
  <c r="K24"/>
  <c r="L24"/>
  <c r="E25"/>
  <c r="F25"/>
  <c r="G25"/>
  <c r="H25"/>
  <c r="I25"/>
  <c r="J25"/>
  <c r="K25"/>
  <c r="L25"/>
  <c r="E9"/>
  <c r="F9"/>
  <c r="G9"/>
  <c r="H9"/>
  <c r="I9"/>
  <c r="J9"/>
  <c r="K9"/>
  <c r="L9"/>
  <c r="E10"/>
  <c r="F10"/>
  <c r="G10"/>
  <c r="H10"/>
  <c r="I10"/>
  <c r="J10"/>
  <c r="K10"/>
  <c r="L10"/>
  <c r="E11"/>
  <c r="F11"/>
  <c r="G11"/>
  <c r="H11"/>
  <c r="I11"/>
  <c r="J11"/>
  <c r="K11"/>
  <c r="L11"/>
  <c r="E12"/>
  <c r="F12"/>
  <c r="G12"/>
  <c r="H12"/>
  <c r="I12"/>
  <c r="J12"/>
  <c r="K12"/>
  <c r="L12"/>
  <c r="C30" i="33"/>
  <c r="C6" s="1"/>
  <c r="B7" i="32" s="1"/>
  <c r="E30" i="33"/>
  <c r="E31" s="1"/>
  <c r="I28"/>
  <c r="D8" i="10"/>
  <c r="F8"/>
  <c r="D9"/>
  <c r="F9"/>
  <c r="D10"/>
  <c r="F10"/>
  <c r="D11"/>
  <c r="F11"/>
  <c r="D21"/>
  <c r="F21"/>
  <c r="D22"/>
  <c r="F22"/>
  <c r="D23"/>
  <c r="F23"/>
  <c r="D24"/>
  <c r="F24"/>
  <c r="E6" i="29"/>
  <c r="F6"/>
  <c r="G6"/>
  <c r="H6"/>
  <c r="I6"/>
  <c r="J6"/>
  <c r="K6"/>
  <c r="L6"/>
  <c r="E4"/>
  <c r="F4"/>
  <c r="G4"/>
  <c r="H4"/>
  <c r="I4"/>
  <c r="J4"/>
  <c r="K4"/>
  <c r="L4"/>
  <c r="D4"/>
  <c r="G39" i="7"/>
  <c r="H39"/>
  <c r="I39"/>
  <c r="J39"/>
  <c r="K39"/>
  <c r="L39"/>
  <c r="M39"/>
  <c r="N39"/>
  <c r="F39"/>
  <c r="J19" i="20" l="1"/>
  <c r="K3"/>
  <c r="K19" s="1"/>
  <c r="F6" i="33"/>
  <c r="F7" i="32"/>
  <c r="C7"/>
  <c r="D31" i="33"/>
  <c r="E6"/>
  <c r="D7" s="1"/>
  <c r="B7"/>
  <c r="C7"/>
  <c r="C31"/>
  <c r="B31"/>
  <c r="C13" i="29"/>
  <c r="B13"/>
  <c r="G6" i="33" l="1"/>
  <c r="E7"/>
  <c r="I6"/>
  <c r="I7"/>
  <c r="I31"/>
  <c r="H30"/>
  <c r="L47" i="22"/>
  <c r="M47"/>
  <c r="N47"/>
  <c r="O47"/>
  <c r="P47"/>
  <c r="Q47"/>
  <c r="R47"/>
  <c r="S47"/>
  <c r="T47"/>
  <c r="U47"/>
  <c r="L17"/>
  <c r="M17"/>
  <c r="N17"/>
  <c r="O17"/>
  <c r="P17"/>
  <c r="Q17"/>
  <c r="R17"/>
  <c r="S17"/>
  <c r="T17"/>
  <c r="U17"/>
  <c r="D16" i="20"/>
  <c r="G11"/>
  <c r="F34" i="12"/>
  <c r="G34" s="1"/>
  <c r="H34" s="1"/>
  <c r="I34" s="1"/>
  <c r="J34" s="1"/>
  <c r="K34" s="1"/>
  <c r="A15" i="10"/>
  <c r="A7"/>
  <c r="A12" i="9"/>
  <c r="A6"/>
  <c r="H51" i="11"/>
  <c r="I15" i="33" l="1"/>
  <c r="I30"/>
  <c r="C21" i="14"/>
  <c r="D21"/>
  <c r="E21"/>
  <c r="F21"/>
  <c r="G21"/>
  <c r="H21"/>
  <c r="I21"/>
  <c r="B21"/>
  <c r="C17"/>
  <c r="D17"/>
  <c r="E17"/>
  <c r="F17"/>
  <c r="G17"/>
  <c r="H17"/>
  <c r="I17"/>
  <c r="B17"/>
  <c r="D6" i="13"/>
  <c r="D5"/>
  <c r="C7"/>
  <c r="B7"/>
  <c r="C6"/>
  <c r="B6"/>
  <c r="C5"/>
  <c r="B5"/>
  <c r="E17" i="20"/>
  <c r="E25"/>
  <c r="E22"/>
  <c r="E21"/>
  <c r="E8"/>
  <c r="E9"/>
  <c r="E10"/>
  <c r="E7"/>
  <c r="D8"/>
  <c r="D9"/>
  <c r="D10"/>
  <c r="D7"/>
  <c r="K73" i="22"/>
  <c r="I73"/>
  <c r="G73"/>
  <c r="E73"/>
  <c r="C73"/>
  <c r="K68"/>
  <c r="I68"/>
  <c r="G68"/>
  <c r="E68"/>
  <c r="C68"/>
  <c r="K63"/>
  <c r="I63"/>
  <c r="G63"/>
  <c r="E63"/>
  <c r="C63"/>
  <c r="C38" i="15"/>
  <c r="D38"/>
  <c r="E38"/>
  <c r="F38"/>
  <c r="G38"/>
  <c r="H38"/>
  <c r="I38"/>
  <c r="J38"/>
  <c r="K38"/>
  <c r="B38"/>
  <c r="C34"/>
  <c r="D34"/>
  <c r="E34"/>
  <c r="F34"/>
  <c r="G34"/>
  <c r="H34"/>
  <c r="I34"/>
  <c r="J34"/>
  <c r="K34"/>
  <c r="C35"/>
  <c r="D35"/>
  <c r="E35"/>
  <c r="F35"/>
  <c r="G35"/>
  <c r="H35"/>
  <c r="I35"/>
  <c r="J35"/>
  <c r="K35"/>
  <c r="B35"/>
  <c r="B34"/>
  <c r="B28"/>
  <c r="C28"/>
  <c r="D28"/>
  <c r="E28"/>
  <c r="F28"/>
  <c r="G28"/>
  <c r="H28"/>
  <c r="I28"/>
  <c r="J28"/>
  <c r="K28"/>
  <c r="C27"/>
  <c r="D27"/>
  <c r="E27"/>
  <c r="F27"/>
  <c r="G27"/>
  <c r="H27"/>
  <c r="I27"/>
  <c r="J27"/>
  <c r="K27"/>
  <c r="B27"/>
  <c r="C26"/>
  <c r="D26"/>
  <c r="E26"/>
  <c r="F26"/>
  <c r="G26"/>
  <c r="H26"/>
  <c r="I26"/>
  <c r="J26"/>
  <c r="K26"/>
  <c r="B26"/>
  <c r="C14"/>
  <c r="D14"/>
  <c r="E14"/>
  <c r="F14"/>
  <c r="G14"/>
  <c r="H14"/>
  <c r="I14"/>
  <c r="J14"/>
  <c r="K14"/>
  <c r="B14"/>
  <c r="J13"/>
  <c r="K13"/>
  <c r="C13"/>
  <c r="D13"/>
  <c r="E13"/>
  <c r="F13"/>
  <c r="G13"/>
  <c r="H13"/>
  <c r="I13"/>
  <c r="B13"/>
  <c r="U56" i="22"/>
  <c r="S56"/>
  <c r="Q56"/>
  <c r="O56"/>
  <c r="M56"/>
  <c r="O51"/>
  <c r="O54" s="1"/>
  <c r="M51"/>
  <c r="M54" s="1"/>
  <c r="U51"/>
  <c r="U54" s="1"/>
  <c r="S51"/>
  <c r="S54" s="1"/>
  <c r="Q51"/>
  <c r="Q54" s="1"/>
  <c r="N6"/>
  <c r="N9"/>
  <c r="N10"/>
  <c r="N11"/>
  <c r="N12"/>
  <c r="N13"/>
  <c r="N14"/>
  <c r="N15"/>
  <c r="N21"/>
  <c r="N22"/>
  <c r="N23"/>
  <c r="N27"/>
  <c r="N28"/>
  <c r="N31"/>
  <c r="N37"/>
  <c r="N38"/>
  <c r="N39"/>
  <c r="N40"/>
  <c r="N41"/>
  <c r="N42"/>
  <c r="N43"/>
  <c r="I8"/>
  <c r="K8"/>
  <c r="H21"/>
  <c r="T21" s="1"/>
  <c r="J21"/>
  <c r="L21" s="1"/>
  <c r="H22"/>
  <c r="T22" s="1"/>
  <c r="J22"/>
  <c r="L22" s="1"/>
  <c r="H23"/>
  <c r="T23" s="1"/>
  <c r="J23"/>
  <c r="L23" s="1"/>
  <c r="H24"/>
  <c r="J24"/>
  <c r="H25"/>
  <c r="J25"/>
  <c r="H27"/>
  <c r="T27" s="1"/>
  <c r="J27"/>
  <c r="L27" s="1"/>
  <c r="H28"/>
  <c r="T28" s="1"/>
  <c r="J28"/>
  <c r="L28" s="1"/>
  <c r="H29"/>
  <c r="J29"/>
  <c r="I36"/>
  <c r="K36"/>
  <c r="D10"/>
  <c r="P10" s="1"/>
  <c r="D11"/>
  <c r="P11" s="1"/>
  <c r="D12"/>
  <c r="P12" s="1"/>
  <c r="D13"/>
  <c r="P13" s="1"/>
  <c r="D14"/>
  <c r="P14" s="1"/>
  <c r="D15"/>
  <c r="P15" s="1"/>
  <c r="D9"/>
  <c r="P9" s="1"/>
  <c r="D12" i="14"/>
  <c r="D11"/>
  <c r="D10"/>
  <c r="D9"/>
  <c r="D8"/>
  <c r="D7"/>
  <c r="D6"/>
  <c r="D21" i="13"/>
  <c r="C21"/>
  <c r="B21"/>
  <c r="D20"/>
  <c r="C20"/>
  <c r="B20"/>
  <c r="D19"/>
  <c r="C19"/>
  <c r="B19"/>
  <c r="D18"/>
  <c r="C18"/>
  <c r="B18"/>
  <c r="D17"/>
  <c r="C17"/>
  <c r="B17"/>
  <c r="D16"/>
  <c r="C16"/>
  <c r="B16"/>
  <c r="C15"/>
  <c r="D15"/>
  <c r="B15"/>
  <c r="H12" i="9"/>
  <c r="F12"/>
  <c r="H6"/>
  <c r="F6"/>
  <c r="C12"/>
  <c r="B12"/>
  <c r="B16" i="31" s="1"/>
  <c r="C6" i="9"/>
  <c r="B6"/>
  <c r="B8" i="31" s="1"/>
  <c r="D29" i="8"/>
  <c r="D15"/>
  <c r="D12"/>
  <c r="C6"/>
  <c r="C7"/>
  <c r="C8"/>
  <c r="C5"/>
  <c r="D21"/>
  <c r="D24" i="7"/>
  <c r="C25"/>
  <c r="C26"/>
  <c r="C27"/>
  <c r="C28"/>
  <c r="C29"/>
  <c r="C24"/>
  <c r="D13"/>
  <c r="C14"/>
  <c r="C15"/>
  <c r="C16"/>
  <c r="C17"/>
  <c r="C18"/>
  <c r="C19"/>
  <c r="C20"/>
  <c r="C13"/>
  <c r="D6"/>
  <c r="C7"/>
  <c r="C8"/>
  <c r="C9"/>
  <c r="C10"/>
  <c r="C6"/>
  <c r="F40"/>
  <c r="G40"/>
  <c r="H40"/>
  <c r="I40"/>
  <c r="J40"/>
  <c r="K40"/>
  <c r="L40"/>
  <c r="M40"/>
  <c r="N40"/>
  <c r="F41"/>
  <c r="G41"/>
  <c r="H41"/>
  <c r="I41"/>
  <c r="J41"/>
  <c r="K41"/>
  <c r="L41"/>
  <c r="M41"/>
  <c r="N41"/>
  <c r="G38"/>
  <c r="H38"/>
  <c r="I38"/>
  <c r="J38"/>
  <c r="K38"/>
  <c r="L38"/>
  <c r="M38"/>
  <c r="N38"/>
  <c r="F38"/>
  <c r="F25"/>
  <c r="G25"/>
  <c r="H25"/>
  <c r="I25"/>
  <c r="J25"/>
  <c r="K25"/>
  <c r="L25"/>
  <c r="M25"/>
  <c r="N25"/>
  <c r="F26"/>
  <c r="G26"/>
  <c r="H26"/>
  <c r="I26"/>
  <c r="J26"/>
  <c r="K26"/>
  <c r="L26"/>
  <c r="M26"/>
  <c r="N26"/>
  <c r="F27"/>
  <c r="G27"/>
  <c r="H27"/>
  <c r="I27"/>
  <c r="J27"/>
  <c r="K27"/>
  <c r="L27"/>
  <c r="M27"/>
  <c r="N27"/>
  <c r="F28"/>
  <c r="G28"/>
  <c r="H28"/>
  <c r="I28"/>
  <c r="J28"/>
  <c r="K28"/>
  <c r="L28"/>
  <c r="M28"/>
  <c r="N28"/>
  <c r="F29"/>
  <c r="G29"/>
  <c r="H29"/>
  <c r="I29"/>
  <c r="J29"/>
  <c r="K29"/>
  <c r="L29"/>
  <c r="M29"/>
  <c r="N29"/>
  <c r="G24"/>
  <c r="H24"/>
  <c r="I24"/>
  <c r="J24"/>
  <c r="K24"/>
  <c r="L24"/>
  <c r="M24"/>
  <c r="N24"/>
  <c r="F24"/>
  <c r="F14"/>
  <c r="G14"/>
  <c r="H14"/>
  <c r="I14"/>
  <c r="J14"/>
  <c r="K14"/>
  <c r="L14"/>
  <c r="M14"/>
  <c r="N14"/>
  <c r="F15"/>
  <c r="G15"/>
  <c r="H15"/>
  <c r="I15"/>
  <c r="J15"/>
  <c r="K15"/>
  <c r="L15"/>
  <c r="M15"/>
  <c r="N15"/>
  <c r="F16"/>
  <c r="G16"/>
  <c r="H16"/>
  <c r="I16"/>
  <c r="J16"/>
  <c r="K16"/>
  <c r="L16"/>
  <c r="M16"/>
  <c r="N16"/>
  <c r="F17"/>
  <c r="G17"/>
  <c r="H17"/>
  <c r="I17"/>
  <c r="J17"/>
  <c r="K17"/>
  <c r="L17"/>
  <c r="M17"/>
  <c r="N17"/>
  <c r="F18"/>
  <c r="G18"/>
  <c r="H18"/>
  <c r="I18"/>
  <c r="J18"/>
  <c r="K18"/>
  <c r="L18"/>
  <c r="M18"/>
  <c r="N18"/>
  <c r="F19"/>
  <c r="G19"/>
  <c r="H19"/>
  <c r="I19"/>
  <c r="J19"/>
  <c r="K19"/>
  <c r="L19"/>
  <c r="M19"/>
  <c r="N19"/>
  <c r="F20"/>
  <c r="G20"/>
  <c r="H20"/>
  <c r="I20"/>
  <c r="J20"/>
  <c r="K20"/>
  <c r="L20"/>
  <c r="M20"/>
  <c r="N20"/>
  <c r="G13"/>
  <c r="H13"/>
  <c r="I13"/>
  <c r="J13"/>
  <c r="K13"/>
  <c r="L13"/>
  <c r="M13"/>
  <c r="N13"/>
  <c r="F13"/>
  <c r="F7"/>
  <c r="G7"/>
  <c r="H7"/>
  <c r="I7"/>
  <c r="J7"/>
  <c r="K7"/>
  <c r="L7"/>
  <c r="M7"/>
  <c r="N7"/>
  <c r="F8"/>
  <c r="G8"/>
  <c r="H8"/>
  <c r="I8"/>
  <c r="J8"/>
  <c r="K8"/>
  <c r="L8"/>
  <c r="M8"/>
  <c r="N8"/>
  <c r="F9"/>
  <c r="G9"/>
  <c r="H9"/>
  <c r="I9"/>
  <c r="J9"/>
  <c r="K9"/>
  <c r="L9"/>
  <c r="M9"/>
  <c r="N9"/>
  <c r="F10"/>
  <c r="G10"/>
  <c r="H10"/>
  <c r="I10"/>
  <c r="J10"/>
  <c r="K10"/>
  <c r="L10"/>
  <c r="M10"/>
  <c r="N10"/>
  <c r="G6"/>
  <c r="H6"/>
  <c r="I6"/>
  <c r="J6"/>
  <c r="K6"/>
  <c r="L6"/>
  <c r="M6"/>
  <c r="N6"/>
  <c r="F6"/>
  <c r="C56" i="25"/>
  <c r="C57" s="1"/>
  <c r="D56"/>
  <c r="D55"/>
  <c r="D47"/>
  <c r="C48"/>
  <c r="D48" s="1"/>
  <c r="C43"/>
  <c r="C44" s="1"/>
  <c r="D43"/>
  <c r="D42"/>
  <c r="C40" i="4"/>
  <c r="C39"/>
  <c r="C38"/>
  <c r="C37"/>
  <c r="C36"/>
  <c r="C35"/>
  <c r="C34"/>
  <c r="D29"/>
  <c r="D28"/>
  <c r="D27"/>
  <c r="B28"/>
  <c r="B27"/>
  <c r="D22"/>
  <c r="D21"/>
  <c r="D20"/>
  <c r="D19"/>
  <c r="D18"/>
  <c r="B21"/>
  <c r="B20"/>
  <c r="B19"/>
  <c r="B18"/>
  <c r="C11"/>
  <c r="C10"/>
  <c r="C9"/>
  <c r="C4"/>
  <c r="C29" i="3"/>
  <c r="C28"/>
  <c r="C27"/>
  <c r="C26"/>
  <c r="C25"/>
  <c r="C24"/>
  <c r="C23"/>
  <c r="C22"/>
  <c r="C15"/>
  <c r="C14"/>
  <c r="C13"/>
  <c r="C5"/>
  <c r="C4"/>
  <c r="B5"/>
  <c r="B6"/>
  <c r="B4"/>
  <c r="C25" i="2"/>
  <c r="C22"/>
  <c r="C21"/>
  <c r="C20"/>
  <c r="C19"/>
  <c r="C18"/>
  <c r="C17"/>
  <c r="C16"/>
  <c r="J20" i="15" l="1"/>
  <c r="K20"/>
  <c r="I20"/>
  <c r="G20"/>
  <c r="H20"/>
  <c r="T29" i="22"/>
  <c r="T24"/>
  <c r="N29"/>
  <c r="N24"/>
  <c r="L29"/>
  <c r="L24"/>
  <c r="L25"/>
  <c r="T25"/>
  <c r="N25"/>
  <c r="F9"/>
  <c r="F15"/>
  <c r="F14"/>
  <c r="F13"/>
  <c r="F12"/>
  <c r="F11"/>
  <c r="F10"/>
  <c r="D44" i="25"/>
  <c r="C45"/>
  <c r="C58"/>
  <c r="D57"/>
  <c r="C49"/>
  <c r="R10" i="22" l="1"/>
  <c r="H10"/>
  <c r="R11"/>
  <c r="H11"/>
  <c r="R12"/>
  <c r="H12"/>
  <c r="R13"/>
  <c r="H13"/>
  <c r="R14"/>
  <c r="H14"/>
  <c r="R15"/>
  <c r="H15"/>
  <c r="R9"/>
  <c r="H9"/>
  <c r="D49" i="25"/>
  <c r="C50"/>
  <c r="C59"/>
  <c r="D58"/>
  <c r="D45"/>
  <c r="C46"/>
  <c r="D46" s="1"/>
  <c r="T9" i="22" l="1"/>
  <c r="J9"/>
  <c r="L9" s="1"/>
  <c r="T15"/>
  <c r="J15"/>
  <c r="L15" s="1"/>
  <c r="T14"/>
  <c r="J14"/>
  <c r="L14" s="1"/>
  <c r="T13"/>
  <c r="J13"/>
  <c r="L13" s="1"/>
  <c r="T12"/>
  <c r="J12"/>
  <c r="L12" s="1"/>
  <c r="T11"/>
  <c r="J11"/>
  <c r="L11" s="1"/>
  <c r="T10"/>
  <c r="J10"/>
  <c r="L10" s="1"/>
  <c r="C60" i="25"/>
  <c r="D59"/>
  <c r="D50"/>
  <c r="C51"/>
  <c r="D51" l="1"/>
  <c r="C52"/>
  <c r="D60"/>
  <c r="D52" l="1"/>
  <c r="C53"/>
  <c r="D53" l="1"/>
  <c r="C54"/>
  <c r="D54" s="1"/>
  <c r="C41" i="4" l="1"/>
  <c r="B40"/>
  <c r="B39"/>
  <c r="B38"/>
  <c r="B37"/>
  <c r="B36"/>
  <c r="B35"/>
  <c r="B34"/>
  <c r="B41" s="1"/>
  <c r="C22" i="20"/>
  <c r="C21"/>
  <c r="C8"/>
  <c r="C9"/>
  <c r="C10"/>
  <c r="C7"/>
  <c r="B9" i="4"/>
  <c r="B10"/>
  <c r="B11"/>
  <c r="C12"/>
  <c r="B12" s="1"/>
  <c r="C13"/>
  <c r="H11" i="20"/>
  <c r="D51" i="7"/>
  <c r="D50"/>
  <c r="F22" i="22"/>
  <c r="R22" s="1"/>
  <c r="F23"/>
  <c r="R23" s="1"/>
  <c r="D22"/>
  <c r="P22" s="1"/>
  <c r="D23"/>
  <c r="P23" s="1"/>
  <c r="K72"/>
  <c r="I72"/>
  <c r="G72"/>
  <c r="E72"/>
  <c r="C72"/>
  <c r="K67"/>
  <c r="I67"/>
  <c r="G67"/>
  <c r="E67"/>
  <c r="C67"/>
  <c r="K74"/>
  <c r="F25" i="15" s="1"/>
  <c r="I74" i="22"/>
  <c r="E25" i="15" s="1"/>
  <c r="G74" i="22"/>
  <c r="D25" i="15" s="1"/>
  <c r="E74" i="22"/>
  <c r="C25" i="15" s="1"/>
  <c r="C74" i="22"/>
  <c r="B25" i="15" s="1"/>
  <c r="K69" i="22"/>
  <c r="F24" i="15" s="1"/>
  <c r="I69" i="22"/>
  <c r="E24" i="15" s="1"/>
  <c r="G69" i="22"/>
  <c r="D24" i="15" s="1"/>
  <c r="E69" i="22"/>
  <c r="C24" i="15" s="1"/>
  <c r="C69" i="22"/>
  <c r="B24" i="15" s="1"/>
  <c r="K62" i="22"/>
  <c r="K64" s="1"/>
  <c r="F23" i="15" s="1"/>
  <c r="I62" i="22"/>
  <c r="I64" s="1"/>
  <c r="E23" i="15" s="1"/>
  <c r="G62" i="22"/>
  <c r="G64" s="1"/>
  <c r="D23" i="15" s="1"/>
  <c r="E62" i="22"/>
  <c r="E64" s="1"/>
  <c r="C23" i="15" s="1"/>
  <c r="C62" i="22"/>
  <c r="C64" s="1"/>
  <c r="B23" i="15" s="1"/>
  <c r="D58" i="22"/>
  <c r="F58" s="1"/>
  <c r="H58" s="1"/>
  <c r="K57"/>
  <c r="I57"/>
  <c r="G57"/>
  <c r="E57"/>
  <c r="C57"/>
  <c r="D56"/>
  <c r="F56" s="1"/>
  <c r="H56" s="1"/>
  <c r="K56"/>
  <c r="K58" s="1"/>
  <c r="I56"/>
  <c r="I58" s="1"/>
  <c r="I59" s="1"/>
  <c r="E21" i="15" s="1"/>
  <c r="G56" i="22"/>
  <c r="G58" s="1"/>
  <c r="G59" s="1"/>
  <c r="D21" i="15" s="1"/>
  <c r="E56" i="22"/>
  <c r="E58" s="1"/>
  <c r="E59" s="1"/>
  <c r="C21" i="15" s="1"/>
  <c r="C56" i="22"/>
  <c r="C58" s="1"/>
  <c r="C59" s="1"/>
  <c r="B21" i="15" s="1"/>
  <c r="K51" i="22"/>
  <c r="I51"/>
  <c r="G51"/>
  <c r="E51"/>
  <c r="C51"/>
  <c r="I54"/>
  <c r="E20" i="15" s="1"/>
  <c r="G54" i="22"/>
  <c r="D20" i="15" s="1"/>
  <c r="E54" i="22"/>
  <c r="C20" i="15" s="1"/>
  <c r="C54" i="22"/>
  <c r="B20" i="15" s="1"/>
  <c r="D54" i="22"/>
  <c r="F54" s="1"/>
  <c r="H54" s="1"/>
  <c r="K52"/>
  <c r="I52"/>
  <c r="H52" s="1"/>
  <c r="G52"/>
  <c r="F52" s="1"/>
  <c r="E52"/>
  <c r="D52" s="1"/>
  <c r="C52"/>
  <c r="B52" s="1"/>
  <c r="B53" s="1"/>
  <c r="D51"/>
  <c r="F51" s="1"/>
  <c r="H51" s="1"/>
  <c r="D38"/>
  <c r="D39"/>
  <c r="D40"/>
  <c r="D41"/>
  <c r="D42"/>
  <c r="D43"/>
  <c r="D37"/>
  <c r="G36"/>
  <c r="E36"/>
  <c r="C36"/>
  <c r="B29"/>
  <c r="F28"/>
  <c r="R28" s="1"/>
  <c r="F27"/>
  <c r="D28"/>
  <c r="P28" s="1"/>
  <c r="D27"/>
  <c r="F24"/>
  <c r="D24"/>
  <c r="B24"/>
  <c r="B25" s="1"/>
  <c r="F21"/>
  <c r="D21"/>
  <c r="D31"/>
  <c r="G8"/>
  <c r="E8"/>
  <c r="C8"/>
  <c r="D6"/>
  <c r="P6" s="1"/>
  <c r="C13" i="21"/>
  <c r="D13"/>
  <c r="E13"/>
  <c r="F13"/>
  <c r="G13"/>
  <c r="H13"/>
  <c r="I13"/>
  <c r="B13"/>
  <c r="L33" i="20"/>
  <c r="M33"/>
  <c r="N33"/>
  <c r="O33"/>
  <c r="P33"/>
  <c r="Q33"/>
  <c r="R33"/>
  <c r="S33"/>
  <c r="T33"/>
  <c r="U33"/>
  <c r="V33"/>
  <c r="W33"/>
  <c r="X33"/>
  <c r="L32"/>
  <c r="M32"/>
  <c r="N32"/>
  <c r="O32"/>
  <c r="P32"/>
  <c r="Q32"/>
  <c r="R32"/>
  <c r="S32"/>
  <c r="T32"/>
  <c r="U32"/>
  <c r="V32"/>
  <c r="W32"/>
  <c r="X32"/>
  <c r="V5"/>
  <c r="W5" s="1"/>
  <c r="X5" s="1"/>
  <c r="U5"/>
  <c r="T5"/>
  <c r="U4"/>
  <c r="V4"/>
  <c r="W4"/>
  <c r="X4"/>
  <c r="T4"/>
  <c r="D22"/>
  <c r="F22" s="1"/>
  <c r="L6"/>
  <c r="M6"/>
  <c r="D12"/>
  <c r="E12"/>
  <c r="C12"/>
  <c r="F8"/>
  <c r="F9"/>
  <c r="F10"/>
  <c r="F7"/>
  <c r="F12" s="1"/>
  <c r="Q7" s="1"/>
  <c r="M19" i="16"/>
  <c r="J40"/>
  <c r="M12" s="1"/>
  <c r="K40"/>
  <c r="N12" s="1"/>
  <c r="I37"/>
  <c r="F6" i="15"/>
  <c r="K4" i="20" s="1"/>
  <c r="K20" s="1"/>
  <c r="C5" i="15"/>
  <c r="D5" s="1"/>
  <c r="E5" s="1"/>
  <c r="F5" s="1"/>
  <c r="G5" s="1"/>
  <c r="H5" s="1"/>
  <c r="I5" s="1"/>
  <c r="J5" s="1"/>
  <c r="K5" s="1"/>
  <c r="C23" i="14"/>
  <c r="G23"/>
  <c r="H23"/>
  <c r="I23"/>
  <c r="B23"/>
  <c r="C16"/>
  <c r="D16" s="1"/>
  <c r="E16" s="1"/>
  <c r="F16" s="1"/>
  <c r="G16" s="1"/>
  <c r="H16" s="1"/>
  <c r="I16" s="1"/>
  <c r="G6" i="15"/>
  <c r="E40" i="11"/>
  <c r="F26" i="10"/>
  <c r="D13"/>
  <c r="D14"/>
  <c r="D26"/>
  <c r="D6" i="9"/>
  <c r="D11"/>
  <c r="D12"/>
  <c r="D13"/>
  <c r="D14"/>
  <c r="D15"/>
  <c r="D16"/>
  <c r="I11"/>
  <c r="B22"/>
  <c r="E12"/>
  <c r="E6"/>
  <c r="C34" i="7"/>
  <c r="B6" i="29" s="1"/>
  <c r="C6" s="1"/>
  <c r="D33" i="8"/>
  <c r="C41" i="7" s="1"/>
  <c r="C35" i="6" s="1"/>
  <c r="D24" i="8"/>
  <c r="C40" i="7" s="1"/>
  <c r="C34" i="6" s="1"/>
  <c r="F30" i="7"/>
  <c r="G30"/>
  <c r="H30"/>
  <c r="I30"/>
  <c r="J30"/>
  <c r="K30"/>
  <c r="L30"/>
  <c r="C30"/>
  <c r="F21"/>
  <c r="M21"/>
  <c r="C21"/>
  <c r="E34"/>
  <c r="E24"/>
  <c r="E13"/>
  <c r="E6"/>
  <c r="F11"/>
  <c r="C11"/>
  <c r="C32" s="1"/>
  <c r="B5" i="29" s="1"/>
  <c r="D46" i="6"/>
  <c r="D45"/>
  <c r="D37" i="7"/>
  <c r="D25"/>
  <c r="D14"/>
  <c r="D7"/>
  <c r="O15"/>
  <c r="O20"/>
  <c r="O23"/>
  <c r="O36"/>
  <c r="O42"/>
  <c r="D31" i="6"/>
  <c r="D30"/>
  <c r="C30"/>
  <c r="D20"/>
  <c r="D21"/>
  <c r="C21"/>
  <c r="C22"/>
  <c r="C23"/>
  <c r="C24"/>
  <c r="C25"/>
  <c r="C20"/>
  <c r="C26" s="1"/>
  <c r="D11"/>
  <c r="D12"/>
  <c r="C12"/>
  <c r="C13"/>
  <c r="C14"/>
  <c r="C15"/>
  <c r="C16"/>
  <c r="C17"/>
  <c r="C18"/>
  <c r="C11"/>
  <c r="D5"/>
  <c r="D6"/>
  <c r="C6"/>
  <c r="C7"/>
  <c r="C8"/>
  <c r="C9"/>
  <c r="C5"/>
  <c r="E6"/>
  <c r="E11"/>
  <c r="E12"/>
  <c r="E20"/>
  <c r="E21"/>
  <c r="E30"/>
  <c r="E5"/>
  <c r="F6"/>
  <c r="F11"/>
  <c r="F12"/>
  <c r="F20"/>
  <c r="F21"/>
  <c r="F30"/>
  <c r="F5"/>
  <c r="C28" i="4"/>
  <c r="C29"/>
  <c r="C27"/>
  <c r="D30"/>
  <c r="D31" s="1"/>
  <c r="C15" i="2" s="1"/>
  <c r="B15" s="1"/>
  <c r="B24" i="4"/>
  <c r="C19"/>
  <c r="C20"/>
  <c r="C21"/>
  <c r="C22"/>
  <c r="C18"/>
  <c r="D23"/>
  <c r="D24" s="1"/>
  <c r="C14" i="2" s="1"/>
  <c r="B14" s="1"/>
  <c r="B4" i="4"/>
  <c r="C5"/>
  <c r="C6" s="1"/>
  <c r="C13" i="2" s="1"/>
  <c r="B13" s="1"/>
  <c r="B29" i="3"/>
  <c r="B28"/>
  <c r="B27"/>
  <c r="B26"/>
  <c r="B25"/>
  <c r="B24"/>
  <c r="B23"/>
  <c r="B22"/>
  <c r="C30"/>
  <c r="B30" s="1"/>
  <c r="B15"/>
  <c r="B14"/>
  <c r="B13"/>
  <c r="B16" i="2"/>
  <c r="B17"/>
  <c r="B18"/>
  <c r="B19"/>
  <c r="B20"/>
  <c r="B21"/>
  <c r="B22"/>
  <c r="B17" i="3"/>
  <c r="C17"/>
  <c r="E6"/>
  <c r="E5"/>
  <c r="E4"/>
  <c r="D5"/>
  <c r="F6" i="13" s="1"/>
  <c r="D4" i="3"/>
  <c r="F5" i="13" s="1"/>
  <c r="E7" i="3"/>
  <c r="B7"/>
  <c r="C6"/>
  <c r="D6" s="1"/>
  <c r="I14" i="21" l="1"/>
  <c r="H14"/>
  <c r="G14"/>
  <c r="F14"/>
  <c r="E14"/>
  <c r="B13" i="31"/>
  <c r="D8"/>
  <c r="D13" s="1"/>
  <c r="G12" i="9"/>
  <c r="G13"/>
  <c r="G14"/>
  <c r="G15"/>
  <c r="G16"/>
  <c r="C3" i="2"/>
  <c r="I5" i="11"/>
  <c r="F34" i="7"/>
  <c r="L7" i="20"/>
  <c r="M7"/>
  <c r="M8" s="1"/>
  <c r="M9" s="1"/>
  <c r="M10" s="1"/>
  <c r="M11" s="1"/>
  <c r="M12" s="1"/>
  <c r="I11"/>
  <c r="E22" i="9"/>
  <c r="G6"/>
  <c r="D7" i="3"/>
  <c r="F7" i="13"/>
  <c r="F8" s="1"/>
  <c r="E13" i="3"/>
  <c r="E5" i="13"/>
  <c r="E14" i="3"/>
  <c r="D14" s="1"/>
  <c r="E6" i="13"/>
  <c r="E15" i="3"/>
  <c r="D15" s="1"/>
  <c r="E7" i="13"/>
  <c r="K54" i="22"/>
  <c r="J52"/>
  <c r="F20" i="15"/>
  <c r="K59" i="22"/>
  <c r="J51"/>
  <c r="J54"/>
  <c r="L54" s="1"/>
  <c r="J56"/>
  <c r="L56" s="1"/>
  <c r="N56" s="1"/>
  <c r="P56" s="1"/>
  <c r="R56" s="1"/>
  <c r="T56" s="1"/>
  <c r="J58"/>
  <c r="L58" s="1"/>
  <c r="P24"/>
  <c r="R24"/>
  <c r="F6"/>
  <c r="R6" s="1"/>
  <c r="F31"/>
  <c r="P31"/>
  <c r="D25"/>
  <c r="P21"/>
  <c r="P25" s="1"/>
  <c r="F25"/>
  <c r="R21"/>
  <c r="R25" s="1"/>
  <c r="D29"/>
  <c r="P27"/>
  <c r="P29" s="1"/>
  <c r="F29"/>
  <c r="R27"/>
  <c r="R29" s="1"/>
  <c r="F37"/>
  <c r="P37"/>
  <c r="F43"/>
  <c r="P43"/>
  <c r="F42"/>
  <c r="P42"/>
  <c r="F41"/>
  <c r="P41"/>
  <c r="F40"/>
  <c r="P40"/>
  <c r="F39"/>
  <c r="P39"/>
  <c r="F38"/>
  <c r="P38"/>
  <c r="D22" i="9"/>
  <c r="E16" i="3"/>
  <c r="D16" s="1"/>
  <c r="D13"/>
  <c r="D8" i="7"/>
  <c r="D15"/>
  <c r="D26"/>
  <c r="D38"/>
  <c r="E7"/>
  <c r="E14"/>
  <c r="E25"/>
  <c r="B13" i="4"/>
  <c r="C23"/>
  <c r="C24"/>
  <c r="C30"/>
  <c r="C31"/>
  <c r="B31" i="3"/>
  <c r="C13" i="20"/>
  <c r="B4" i="15"/>
  <c r="C4" s="1"/>
  <c r="D4" s="1"/>
  <c r="E4" s="1"/>
  <c r="F4" s="1"/>
  <c r="G4" s="1"/>
  <c r="H4" s="1"/>
  <c r="I4" s="1"/>
  <c r="J4" s="1"/>
  <c r="K4" s="1"/>
  <c r="C32" i="12"/>
  <c r="D32"/>
  <c r="E32"/>
  <c r="F32"/>
  <c r="G32"/>
  <c r="H32"/>
  <c r="I32"/>
  <c r="J32"/>
  <c r="K32"/>
  <c r="B32"/>
  <c r="B17" i="19"/>
  <c r="X13" i="30" s="1"/>
  <c r="B5" i="4"/>
  <c r="F41" i="6"/>
  <c r="B7" i="10"/>
  <c r="B15"/>
  <c r="J53" i="22"/>
  <c r="B57"/>
  <c r="B59" s="1"/>
  <c r="D57"/>
  <c r="F57"/>
  <c r="H57"/>
  <c r="J57"/>
  <c r="F32" i="7"/>
  <c r="D5" i="29" s="1"/>
  <c r="D59" i="22"/>
  <c r="F59"/>
  <c r="H59"/>
  <c r="J59"/>
  <c r="C53"/>
  <c r="E53"/>
  <c r="G53"/>
  <c r="I53"/>
  <c r="K53"/>
  <c r="D53"/>
  <c r="F53"/>
  <c r="H53"/>
  <c r="O7" i="20"/>
  <c r="P7"/>
  <c r="X7"/>
  <c r="W7"/>
  <c r="V7"/>
  <c r="U7"/>
  <c r="T7"/>
  <c r="S7"/>
  <c r="R7"/>
  <c r="I17" i="9"/>
  <c r="I16"/>
  <c r="I15"/>
  <c r="I14"/>
  <c r="I13"/>
  <c r="I12"/>
  <c r="I6"/>
  <c r="I22" s="1"/>
  <c r="G22"/>
  <c r="F22" s="1"/>
  <c r="C10" i="6"/>
  <c r="C19" s="1"/>
  <c r="C28"/>
  <c r="O25" i="7"/>
  <c r="B6" i="4"/>
  <c r="C31" i="3"/>
  <c r="C12" i="2" s="1"/>
  <c r="E17" i="3"/>
  <c r="C11" i="2" s="1"/>
  <c r="D17" i="3"/>
  <c r="B25" i="2"/>
  <c r="I13" i="11" l="1"/>
  <c r="H13"/>
  <c r="J13" s="1"/>
  <c r="L8" i="31"/>
  <c r="L13" s="1"/>
  <c r="K8"/>
  <c r="K13" s="1"/>
  <c r="J8"/>
  <c r="J13" s="1"/>
  <c r="I8"/>
  <c r="I13" s="1"/>
  <c r="H8"/>
  <c r="H13" s="1"/>
  <c r="G8"/>
  <c r="G13" s="1"/>
  <c r="F8"/>
  <c r="F13" s="1"/>
  <c r="E8"/>
  <c r="E13" s="1"/>
  <c r="B26"/>
  <c r="D16"/>
  <c r="D26" s="1"/>
  <c r="B28"/>
  <c r="D6" i="29"/>
  <c r="M6" s="1"/>
  <c r="F51" i="7"/>
  <c r="B8" i="16" s="1"/>
  <c r="O5" i="11"/>
  <c r="O34" i="7"/>
  <c r="J11" i="20"/>
  <c r="I7" i="13"/>
  <c r="H7"/>
  <c r="G7"/>
  <c r="I6"/>
  <c r="H6"/>
  <c r="G6"/>
  <c r="I5"/>
  <c r="I8" s="1"/>
  <c r="H5"/>
  <c r="H8" s="1"/>
  <c r="G5"/>
  <c r="G8" s="1"/>
  <c r="E8"/>
  <c r="U58" i="22"/>
  <c r="N58"/>
  <c r="M58"/>
  <c r="O58"/>
  <c r="Q58"/>
  <c r="S58"/>
  <c r="N54"/>
  <c r="L51"/>
  <c r="N51" s="1"/>
  <c r="P51" s="1"/>
  <c r="R51" s="1"/>
  <c r="T51" s="1"/>
  <c r="F21" i="15"/>
  <c r="R38" i="22"/>
  <c r="H38"/>
  <c r="R39"/>
  <c r="H39"/>
  <c r="R40"/>
  <c r="H40"/>
  <c r="R41"/>
  <c r="H41"/>
  <c r="R42"/>
  <c r="H42"/>
  <c r="R43"/>
  <c r="H43"/>
  <c r="R37"/>
  <c r="H37"/>
  <c r="R31"/>
  <c r="H31"/>
  <c r="H6"/>
  <c r="T6" s="1"/>
  <c r="B11" i="2"/>
  <c r="C23"/>
  <c r="D39" i="7"/>
  <c r="D32" i="6"/>
  <c r="E26" i="7"/>
  <c r="D27"/>
  <c r="D22" i="6"/>
  <c r="E15" i="7"/>
  <c r="D16"/>
  <c r="D13" i="6"/>
  <c r="E13" s="1"/>
  <c r="F13" s="1"/>
  <c r="E8" i="7"/>
  <c r="D9"/>
  <c r="D7" i="6"/>
  <c r="H6" i="15"/>
  <c r="F19" i="10"/>
  <c r="D19"/>
  <c r="F20"/>
  <c r="D20"/>
  <c r="F16"/>
  <c r="D16"/>
  <c r="F15"/>
  <c r="B25"/>
  <c r="D15"/>
  <c r="F7"/>
  <c r="F12" s="1"/>
  <c r="B12"/>
  <c r="B27"/>
  <c r="D7"/>
  <c r="F18"/>
  <c r="D18"/>
  <c r="F17"/>
  <c r="D17"/>
  <c r="C17" i="19"/>
  <c r="D17" s="1"/>
  <c r="E17" s="1"/>
  <c r="F17" s="1"/>
  <c r="G17" s="1"/>
  <c r="H17" s="1"/>
  <c r="I17" s="1"/>
  <c r="J17" s="1"/>
  <c r="K17" s="1"/>
  <c r="L17" s="1"/>
  <c r="D40" i="11"/>
  <c r="L8" i="20"/>
  <c r="O24" i="7"/>
  <c r="G21"/>
  <c r="O14"/>
  <c r="O6"/>
  <c r="I21"/>
  <c r="O13"/>
  <c r="O7"/>
  <c r="B12" i="2"/>
  <c r="C26"/>
  <c r="B18" i="16" l="1"/>
  <c r="D8" i="32"/>
  <c r="O13" i="11"/>
  <c r="N13"/>
  <c r="P13" s="1"/>
  <c r="I26"/>
  <c r="H26"/>
  <c r="J26" s="1"/>
  <c r="D9" i="32"/>
  <c r="E8"/>
  <c r="D28" i="31"/>
  <c r="L16"/>
  <c r="L26" s="1"/>
  <c r="K16"/>
  <c r="K26" s="1"/>
  <c r="J16"/>
  <c r="J26" s="1"/>
  <c r="I16"/>
  <c r="I26" s="1"/>
  <c r="H16"/>
  <c r="H26" s="1"/>
  <c r="G16"/>
  <c r="G26" s="1"/>
  <c r="F16"/>
  <c r="F26" s="1"/>
  <c r="E16"/>
  <c r="E26" s="1"/>
  <c r="E28"/>
  <c r="C34" s="1"/>
  <c r="F28"/>
  <c r="C35" s="1"/>
  <c r="G28"/>
  <c r="C36" s="1"/>
  <c r="H28"/>
  <c r="C37" s="1"/>
  <c r="I28"/>
  <c r="C38" s="1"/>
  <c r="J28"/>
  <c r="C39" s="1"/>
  <c r="K28"/>
  <c r="C40" s="1"/>
  <c r="L28"/>
  <c r="C41" s="1"/>
  <c r="C24" i="2"/>
  <c r="B24" s="1"/>
  <c r="C36" i="15"/>
  <c r="D36"/>
  <c r="E36"/>
  <c r="F36"/>
  <c r="G36"/>
  <c r="H36"/>
  <c r="I36"/>
  <c r="J36"/>
  <c r="K36"/>
  <c r="B36"/>
  <c r="K11" i="20"/>
  <c r="B8" i="13"/>
  <c r="C8"/>
  <c r="P54" i="22"/>
  <c r="P58"/>
  <c r="J6"/>
  <c r="T31"/>
  <c r="J31"/>
  <c r="T37"/>
  <c r="J37"/>
  <c r="L37" s="1"/>
  <c r="T43"/>
  <c r="J43"/>
  <c r="L43" s="1"/>
  <c r="T42"/>
  <c r="J42"/>
  <c r="L42" s="1"/>
  <c r="T41"/>
  <c r="J41"/>
  <c r="L41" s="1"/>
  <c r="T40"/>
  <c r="J40"/>
  <c r="L40" s="1"/>
  <c r="T39"/>
  <c r="J39"/>
  <c r="L39" s="1"/>
  <c r="T38"/>
  <c r="J38"/>
  <c r="L38" s="1"/>
  <c r="E7" i="6"/>
  <c r="E9" i="7"/>
  <c r="D10"/>
  <c r="D8" i="6"/>
  <c r="D11" i="7"/>
  <c r="E16"/>
  <c r="D17"/>
  <c r="D14" i="6"/>
  <c r="E14" s="1"/>
  <c r="F14" s="1"/>
  <c r="E22"/>
  <c r="E27" i="7"/>
  <c r="D28"/>
  <c r="D23" i="6"/>
  <c r="E23" s="1"/>
  <c r="F23" s="1"/>
  <c r="D40" i="7"/>
  <c r="D33" i="6"/>
  <c r="F40" i="11"/>
  <c r="D12" i="10"/>
  <c r="C12" s="1"/>
  <c r="I6" i="15"/>
  <c r="E12" i="10"/>
  <c r="D25"/>
  <c r="C25" s="1"/>
  <c r="F25"/>
  <c r="G5" i="20"/>
  <c r="L9"/>
  <c r="H5"/>
  <c r="B23" i="2"/>
  <c r="C6" s="1"/>
  <c r="D41" i="31" l="1"/>
  <c r="D40"/>
  <c r="D39"/>
  <c r="D38"/>
  <c r="D37"/>
  <c r="D36"/>
  <c r="D35"/>
  <c r="D34"/>
  <c r="E40"/>
  <c r="E39"/>
  <c r="E38"/>
  <c r="E37"/>
  <c r="E36"/>
  <c r="E35"/>
  <c r="E34"/>
  <c r="O26" i="11"/>
  <c r="N40" s="1"/>
  <c r="L61" s="1"/>
  <c r="N26"/>
  <c r="I40"/>
  <c r="H40"/>
  <c r="E61"/>
  <c r="J40"/>
  <c r="P26"/>
  <c r="D22" i="14" s="1"/>
  <c r="D23" s="1"/>
  <c r="D10" i="32"/>
  <c r="E10" s="1"/>
  <c r="E9"/>
  <c r="C42" i="31"/>
  <c r="B8" i="32" s="1"/>
  <c r="C4" i="2"/>
  <c r="C5"/>
  <c r="F5" i="21"/>
  <c r="E5"/>
  <c r="R58" i="22"/>
  <c r="R54"/>
  <c r="L31"/>
  <c r="L6"/>
  <c r="E40" i="7"/>
  <c r="D41"/>
  <c r="D34" i="6"/>
  <c r="D43" i="7"/>
  <c r="O26"/>
  <c r="E28"/>
  <c r="D29"/>
  <c r="D24" i="6"/>
  <c r="E24" s="1"/>
  <c r="F24" s="1"/>
  <c r="D30" i="7"/>
  <c r="O27"/>
  <c r="F22" i="6"/>
  <c r="E17" i="7"/>
  <c r="D18"/>
  <c r="D15" i="6"/>
  <c r="E15" s="1"/>
  <c r="D8" i="30" s="1"/>
  <c r="E8" s="1"/>
  <c r="F8" s="1"/>
  <c r="G8" s="1"/>
  <c r="H8" s="1"/>
  <c r="I8" s="1"/>
  <c r="J8" s="1"/>
  <c r="K8" s="1"/>
  <c r="L8" s="1"/>
  <c r="M8" s="1"/>
  <c r="N8" s="1"/>
  <c r="O8" s="1"/>
  <c r="P8" s="1"/>
  <c r="Q8" s="1"/>
  <c r="R8" s="1"/>
  <c r="S8" s="1"/>
  <c r="T8" s="1"/>
  <c r="U8" s="1"/>
  <c r="V8" s="1"/>
  <c r="W8" s="1"/>
  <c r="X8" s="1"/>
  <c r="L21" i="7"/>
  <c r="J21"/>
  <c r="K21"/>
  <c r="O8"/>
  <c r="E8" i="6"/>
  <c r="F8" s="1"/>
  <c r="E10" i="7"/>
  <c r="D9" i="6"/>
  <c r="E9" s="1"/>
  <c r="F9" s="1"/>
  <c r="F7"/>
  <c r="E10"/>
  <c r="D5" i="30" s="1"/>
  <c r="H11" i="7"/>
  <c r="N11"/>
  <c r="D10" i="6"/>
  <c r="E25" i="10"/>
  <c r="F27"/>
  <c r="E27" s="1"/>
  <c r="J6" i="15"/>
  <c r="K6"/>
  <c r="D27" i="10"/>
  <c r="L10" i="20"/>
  <c r="B26" i="2"/>
  <c r="E41" i="31" l="1"/>
  <c r="F34"/>
  <c r="B5" i="12" s="1"/>
  <c r="F35" i="31"/>
  <c r="B8" i="12" s="1"/>
  <c r="F36" i="31"/>
  <c r="B11" i="12" s="1"/>
  <c r="F37" i="31"/>
  <c r="B14" i="12" s="1"/>
  <c r="F38" i="31"/>
  <c r="B17" i="12" s="1"/>
  <c r="F39" i="31"/>
  <c r="B20" i="12" s="1"/>
  <c r="F40" i="31"/>
  <c r="B23" i="12" s="1"/>
  <c r="O40" i="11"/>
  <c r="I52"/>
  <c r="H52"/>
  <c r="F8" i="32"/>
  <c r="C8"/>
  <c r="D42" i="31"/>
  <c r="B9" i="32" s="1"/>
  <c r="E5" i="30"/>
  <c r="F5"/>
  <c r="I5" i="20"/>
  <c r="T54" i="22"/>
  <c r="T58"/>
  <c r="F15" i="6"/>
  <c r="F10"/>
  <c r="O9" i="7"/>
  <c r="J11"/>
  <c r="J32" s="1"/>
  <c r="H5" i="29" s="1"/>
  <c r="H7" s="1"/>
  <c r="K11" i="7"/>
  <c r="K32" s="1"/>
  <c r="I5" i="29" s="1"/>
  <c r="I7" s="1"/>
  <c r="L11" i="7"/>
  <c r="E11"/>
  <c r="H21"/>
  <c r="O16"/>
  <c r="E18"/>
  <c r="D19"/>
  <c r="D16" i="6"/>
  <c r="E16" s="1"/>
  <c r="D10" i="30" s="1"/>
  <c r="E10" s="1"/>
  <c r="F10" s="1"/>
  <c r="G10" s="1"/>
  <c r="H10" s="1"/>
  <c r="I10" s="1"/>
  <c r="J10" s="1"/>
  <c r="K10" s="1"/>
  <c r="L10" s="1"/>
  <c r="M10" s="1"/>
  <c r="N10" s="1"/>
  <c r="O10" s="1"/>
  <c r="P10" s="1"/>
  <c r="Q10" s="1"/>
  <c r="R10" s="1"/>
  <c r="S10" s="1"/>
  <c r="T10" s="1"/>
  <c r="U10" s="1"/>
  <c r="V10" s="1"/>
  <c r="W10" s="1"/>
  <c r="X10" s="1"/>
  <c r="O17" i="7"/>
  <c r="E29"/>
  <c r="D25" i="6"/>
  <c r="O28" i="7"/>
  <c r="E34" i="6"/>
  <c r="F34" s="1"/>
  <c r="E41" i="7"/>
  <c r="D35" i="6"/>
  <c r="E35" s="1"/>
  <c r="F35" s="1"/>
  <c r="O40" i="7"/>
  <c r="H32"/>
  <c r="F5" i="29" s="1"/>
  <c r="F7" s="1"/>
  <c r="G11" i="7"/>
  <c r="L32"/>
  <c r="J5" i="29" s="1"/>
  <c r="J7" s="1"/>
  <c r="L11" i="20"/>
  <c r="F41" i="31" l="1"/>
  <c r="B26" i="12" s="1"/>
  <c r="G40" i="31"/>
  <c r="C23" i="12" s="1"/>
  <c r="G39" i="31"/>
  <c r="C20" i="12" s="1"/>
  <c r="G38" i="31"/>
  <c r="C17" i="12" s="1"/>
  <c r="G37" i="31"/>
  <c r="C14" i="12" s="1"/>
  <c r="G36" i="31"/>
  <c r="C11" i="12" s="1"/>
  <c r="G35" i="31"/>
  <c r="C8" i="12" s="1"/>
  <c r="G34" i="31"/>
  <c r="B4" i="12"/>
  <c r="B28" s="1"/>
  <c r="D11" i="32"/>
  <c r="E11" s="1"/>
  <c r="P40" i="11"/>
  <c r="E22" i="14" s="1"/>
  <c r="E23" s="1"/>
  <c r="O52" i="11"/>
  <c r="N52"/>
  <c r="L62" s="1"/>
  <c r="H59"/>
  <c r="I59"/>
  <c r="E62"/>
  <c r="J52"/>
  <c r="F9" i="32"/>
  <c r="C9"/>
  <c r="E42" i="31"/>
  <c r="B10" i="32" s="1"/>
  <c r="G5" i="30"/>
  <c r="H5"/>
  <c r="G5" i="21"/>
  <c r="E25" i="6"/>
  <c r="D26"/>
  <c r="E30" i="7"/>
  <c r="B5" i="8" s="1"/>
  <c r="D5" s="1"/>
  <c r="F16" i="6"/>
  <c r="E19" i="7"/>
  <c r="O19" s="1"/>
  <c r="D20"/>
  <c r="D17" i="6"/>
  <c r="D21" i="7"/>
  <c r="O10"/>
  <c r="I11"/>
  <c r="I32" s="1"/>
  <c r="G5" i="29" s="1"/>
  <c r="G7" s="1"/>
  <c r="M11" i="7"/>
  <c r="O11"/>
  <c r="D36" i="6"/>
  <c r="N30" i="7"/>
  <c r="G32"/>
  <c r="E5" i="29" s="1"/>
  <c r="L12" i="20"/>
  <c r="J5"/>
  <c r="C5" i="12" l="1"/>
  <c r="G41" i="31"/>
  <c r="C26" i="12" s="1"/>
  <c r="H34" i="31"/>
  <c r="H35"/>
  <c r="H36"/>
  <c r="H37"/>
  <c r="H38"/>
  <c r="H39"/>
  <c r="H40"/>
  <c r="C4" i="12"/>
  <c r="C28" s="1"/>
  <c r="D12" i="32"/>
  <c r="E12" s="1"/>
  <c r="P52" i="11"/>
  <c r="F22" i="14" s="1"/>
  <c r="F23" s="1"/>
  <c r="O59" i="11"/>
  <c r="D13" i="32" s="1"/>
  <c r="N59" i="11"/>
  <c r="L63" s="1"/>
  <c r="B25" i="12"/>
  <c r="B7"/>
  <c r="B10"/>
  <c r="B13"/>
  <c r="B16"/>
  <c r="B19"/>
  <c r="B22"/>
  <c r="J59" i="11"/>
  <c r="E63"/>
  <c r="F10" i="32"/>
  <c r="C10"/>
  <c r="F42" i="31"/>
  <c r="B11" i="32" s="1"/>
  <c r="E7" i="29"/>
  <c r="I5" i="30"/>
  <c r="J5"/>
  <c r="H5" i="21"/>
  <c r="K5" i="20"/>
  <c r="K12" s="1"/>
  <c r="O18" i="7"/>
  <c r="N21"/>
  <c r="O21" s="1"/>
  <c r="N32"/>
  <c r="L5" i="29" s="1"/>
  <c r="L7" s="1"/>
  <c r="E17" i="6"/>
  <c r="E20" i="7"/>
  <c r="D18" i="6"/>
  <c r="E18" s="1"/>
  <c r="F18" s="1"/>
  <c r="O29" i="7"/>
  <c r="M30"/>
  <c r="F25" i="6"/>
  <c r="F26" s="1"/>
  <c r="E26"/>
  <c r="D7" i="30" s="1"/>
  <c r="E7" s="1"/>
  <c r="F7" s="1"/>
  <c r="G7" s="1"/>
  <c r="H7" s="1"/>
  <c r="I7" s="1"/>
  <c r="J7" s="1"/>
  <c r="K7" s="1"/>
  <c r="L7" s="1"/>
  <c r="M7" s="1"/>
  <c r="N7" s="1"/>
  <c r="O7" s="1"/>
  <c r="P7" s="1"/>
  <c r="Q7" s="1"/>
  <c r="R7" s="1"/>
  <c r="S7" s="1"/>
  <c r="T7" s="1"/>
  <c r="U7" s="1"/>
  <c r="V7" s="1"/>
  <c r="W7" s="1"/>
  <c r="X7" s="1"/>
  <c r="O41" i="7"/>
  <c r="I40" i="31" l="1"/>
  <c r="D23" i="12"/>
  <c r="I39" i="31"/>
  <c r="D20" i="12"/>
  <c r="I38" i="31"/>
  <c r="D17" i="12"/>
  <c r="I37" i="31"/>
  <c r="D14" i="12"/>
  <c r="I36" i="31"/>
  <c r="D11" i="12"/>
  <c r="I35" i="31"/>
  <c r="D8" i="12"/>
  <c r="I34" i="31"/>
  <c r="D5" i="12"/>
  <c r="B30"/>
  <c r="H41" i="31"/>
  <c r="B33" i="12"/>
  <c r="B34" s="1"/>
  <c r="B6" i="15" s="1"/>
  <c r="G4" i="20" s="1"/>
  <c r="F15" i="13"/>
  <c r="P59" i="11"/>
  <c r="D4" i="12"/>
  <c r="D14" i="32"/>
  <c r="E13"/>
  <c r="C25" i="12"/>
  <c r="C7"/>
  <c r="C10"/>
  <c r="C13"/>
  <c r="C16"/>
  <c r="C19"/>
  <c r="C22"/>
  <c r="F20" i="13"/>
  <c r="F19"/>
  <c r="F18"/>
  <c r="F17"/>
  <c r="F16"/>
  <c r="F21"/>
  <c r="F11" i="32"/>
  <c r="C11"/>
  <c r="G42" i="31"/>
  <c r="B12" i="32" s="1"/>
  <c r="K5" i="30"/>
  <c r="L5"/>
  <c r="I5" i="21"/>
  <c r="J5" s="1"/>
  <c r="K31" i="20"/>
  <c r="O30" i="7"/>
  <c r="M32"/>
  <c r="K5" i="29" s="1"/>
  <c r="E21" i="7"/>
  <c r="E32"/>
  <c r="C5" i="29" s="1"/>
  <c r="F17" i="6"/>
  <c r="E19"/>
  <c r="D6" i="30" s="1"/>
  <c r="E6" s="1"/>
  <c r="F6" s="1"/>
  <c r="G6" s="1"/>
  <c r="H6" s="1"/>
  <c r="I6" s="1"/>
  <c r="J6" s="1"/>
  <c r="K6" s="1"/>
  <c r="L6" s="1"/>
  <c r="M6" s="1"/>
  <c r="N6" s="1"/>
  <c r="O6" s="1"/>
  <c r="P6" s="1"/>
  <c r="Q6" s="1"/>
  <c r="R6" s="1"/>
  <c r="S6" s="1"/>
  <c r="T6" s="1"/>
  <c r="U6" s="1"/>
  <c r="V6" s="1"/>
  <c r="W6" s="1"/>
  <c r="X6" s="1"/>
  <c r="E28" i="6"/>
  <c r="D19"/>
  <c r="H22" i="9"/>
  <c r="C22"/>
  <c r="C27" i="10"/>
  <c r="D8" i="13"/>
  <c r="I41" i="31" l="1"/>
  <c r="D26" i="12"/>
  <c r="J34" i="31"/>
  <c r="F5" i="12" s="1"/>
  <c r="G5" s="1"/>
  <c r="H5" s="1"/>
  <c r="I5" s="1"/>
  <c r="J5" s="1"/>
  <c r="K5" s="1"/>
  <c r="E5"/>
  <c r="J35" i="31"/>
  <c r="F8" i="12" s="1"/>
  <c r="G8" s="1"/>
  <c r="H8" s="1"/>
  <c r="I8" s="1"/>
  <c r="J8" s="1"/>
  <c r="K8" s="1"/>
  <c r="E8"/>
  <c r="J36" i="31"/>
  <c r="F11" i="12" s="1"/>
  <c r="G11" s="1"/>
  <c r="H11" s="1"/>
  <c r="I11" s="1"/>
  <c r="J11" s="1"/>
  <c r="K11" s="1"/>
  <c r="E11"/>
  <c r="J37" i="31"/>
  <c r="F14" i="12" s="1"/>
  <c r="G14" s="1"/>
  <c r="H14" s="1"/>
  <c r="I14" s="1"/>
  <c r="J14" s="1"/>
  <c r="K14" s="1"/>
  <c r="E14"/>
  <c r="J38" i="31"/>
  <c r="F17" i="12" s="1"/>
  <c r="G17" s="1"/>
  <c r="H17" s="1"/>
  <c r="I17" s="1"/>
  <c r="J17" s="1"/>
  <c r="K17" s="1"/>
  <c r="E17"/>
  <c r="J39" i="31"/>
  <c r="F20" i="12" s="1"/>
  <c r="G20" s="1"/>
  <c r="H20" s="1"/>
  <c r="I20" s="1"/>
  <c r="J20" s="1"/>
  <c r="K20" s="1"/>
  <c r="E20"/>
  <c r="J40" i="31"/>
  <c r="F23" i="12" s="1"/>
  <c r="G23" s="1"/>
  <c r="H23" s="1"/>
  <c r="I23" s="1"/>
  <c r="J23" s="1"/>
  <c r="K23" s="1"/>
  <c r="E23"/>
  <c r="D28"/>
  <c r="C30"/>
  <c r="B12" i="14"/>
  <c r="J12" s="1"/>
  <c r="I21" i="13"/>
  <c r="H21"/>
  <c r="G21"/>
  <c r="B7" i="14"/>
  <c r="J7" s="1"/>
  <c r="I16" i="13"/>
  <c r="H16"/>
  <c r="G16"/>
  <c r="B8" i="14"/>
  <c r="J8" s="1"/>
  <c r="I17" i="13"/>
  <c r="H17"/>
  <c r="G17"/>
  <c r="B9" i="14"/>
  <c r="J9" s="1"/>
  <c r="I18" i="13"/>
  <c r="H18"/>
  <c r="G18"/>
  <c r="B10" i="14"/>
  <c r="J10" s="1"/>
  <c r="I19" i="13"/>
  <c r="H19"/>
  <c r="G19"/>
  <c r="B11" i="14"/>
  <c r="J11" s="1"/>
  <c r="I20" i="13"/>
  <c r="H20"/>
  <c r="G20"/>
  <c r="D15" i="32"/>
  <c r="E15" s="1"/>
  <c r="E14"/>
  <c r="D25" i="12"/>
  <c r="E4"/>
  <c r="D7"/>
  <c r="D10"/>
  <c r="D13"/>
  <c r="D16"/>
  <c r="D19"/>
  <c r="D22"/>
  <c r="B6" i="14"/>
  <c r="J6" s="1"/>
  <c r="J13" s="1"/>
  <c r="D13" s="1"/>
  <c r="I15" i="13"/>
  <c r="I22" s="1"/>
  <c r="D22" s="1"/>
  <c r="H15"/>
  <c r="H22" s="1"/>
  <c r="C22" s="1"/>
  <c r="C15" i="20" s="1"/>
  <c r="L15" s="1"/>
  <c r="M15" s="1"/>
  <c r="N15" s="1"/>
  <c r="G15" i="13"/>
  <c r="G22" s="1"/>
  <c r="B22" s="1"/>
  <c r="C14" i="20" s="1"/>
  <c r="L14" s="1"/>
  <c r="F22" i="13"/>
  <c r="B13" i="14" s="1"/>
  <c r="G12" i="20"/>
  <c r="G31" s="1"/>
  <c r="G20"/>
  <c r="C33" i="12"/>
  <c r="C34" s="1"/>
  <c r="C6" i="15" s="1"/>
  <c r="H4" i="20" s="1"/>
  <c r="F12" i="32"/>
  <c r="C12"/>
  <c r="H42" i="31"/>
  <c r="B13" i="32" s="1"/>
  <c r="K7" i="29"/>
  <c r="M5"/>
  <c r="M5" i="30"/>
  <c r="N5"/>
  <c r="D28" i="6"/>
  <c r="O32" i="7"/>
  <c r="B8" i="8"/>
  <c r="D8" s="1"/>
  <c r="D32" i="7"/>
  <c r="J7" i="21"/>
  <c r="M36" i="22" s="1"/>
  <c r="J8" i="21"/>
  <c r="M52" i="22" s="1"/>
  <c r="J9" i="21"/>
  <c r="M57" i="22" s="1"/>
  <c r="J10" i="21"/>
  <c r="M62" i="22" s="1"/>
  <c r="J11" i="21"/>
  <c r="M72" i="22" s="1"/>
  <c r="J12" i="21"/>
  <c r="M67" i="22" s="1"/>
  <c r="J6" i="21"/>
  <c r="M8" i="22" s="1"/>
  <c r="J13" i="21"/>
  <c r="K5"/>
  <c r="F19" i="6"/>
  <c r="F28"/>
  <c r="B7" i="8"/>
  <c r="D7" s="1"/>
  <c r="B6"/>
  <c r="D6" s="1"/>
  <c r="E16" i="13"/>
  <c r="E17"/>
  <c r="E18"/>
  <c r="E19"/>
  <c r="E20"/>
  <c r="E21"/>
  <c r="E15"/>
  <c r="J14" i="21" l="1"/>
  <c r="J41" i="31"/>
  <c r="F26" i="12" s="1"/>
  <c r="G26" s="1"/>
  <c r="H26" s="1"/>
  <c r="E26"/>
  <c r="E28"/>
  <c r="D30"/>
  <c r="I26"/>
  <c r="H12" i="20"/>
  <c r="H31" s="1"/>
  <c r="H20"/>
  <c r="L16"/>
  <c r="M14"/>
  <c r="E25" i="12"/>
  <c r="E22"/>
  <c r="E19"/>
  <c r="E16"/>
  <c r="E13"/>
  <c r="E10"/>
  <c r="E7"/>
  <c r="F4"/>
  <c r="F28" s="1"/>
  <c r="D33"/>
  <c r="D34" s="1"/>
  <c r="D6" i="15" s="1"/>
  <c r="I4" i="20" s="1"/>
  <c r="F13" i="32"/>
  <c r="C13"/>
  <c r="J42" i="31"/>
  <c r="B15" i="32" s="1"/>
  <c r="I42" i="31"/>
  <c r="B14" i="32" s="1"/>
  <c r="O5" i="30"/>
  <c r="P5"/>
  <c r="K12" i="21"/>
  <c r="O67" i="22" s="1"/>
  <c r="K11" i="21"/>
  <c r="O72" i="22" s="1"/>
  <c r="K10" i="21"/>
  <c r="O62" i="22" s="1"/>
  <c r="K9" i="21"/>
  <c r="O57" i="22" s="1"/>
  <c r="K8" i="21"/>
  <c r="O52" i="22" s="1"/>
  <c r="K7" i="21"/>
  <c r="O36" i="22" s="1"/>
  <c r="K6" i="21"/>
  <c r="O8" i="22" s="1"/>
  <c r="K13" i="21"/>
  <c r="L5"/>
  <c r="L57" i="22"/>
  <c r="L59" s="1"/>
  <c r="M59"/>
  <c r="G21" i="15" s="1"/>
  <c r="L52" i="22"/>
  <c r="L53" s="1"/>
  <c r="M53"/>
  <c r="D9" i="8"/>
  <c r="C6" i="14"/>
  <c r="E6" s="1"/>
  <c r="K6" s="1"/>
  <c r="J15" i="13"/>
  <c r="C12" i="14"/>
  <c r="E12" s="1"/>
  <c r="K12" s="1"/>
  <c r="J21" i="13"/>
  <c r="C11" i="14"/>
  <c r="E11" s="1"/>
  <c r="K11" s="1"/>
  <c r="J20" i="13"/>
  <c r="C10" i="14"/>
  <c r="E10" s="1"/>
  <c r="K10" s="1"/>
  <c r="J19" i="13"/>
  <c r="C9" i="14"/>
  <c r="E9" s="1"/>
  <c r="K9" s="1"/>
  <c r="J18" i="13"/>
  <c r="C8" i="14"/>
  <c r="E8" s="1"/>
  <c r="K8" s="1"/>
  <c r="J17" i="13"/>
  <c r="C7" i="14"/>
  <c r="E7" s="1"/>
  <c r="K7" s="1"/>
  <c r="J16" i="13"/>
  <c r="K14" i="21" l="1"/>
  <c r="E30" i="12"/>
  <c r="E33" s="1"/>
  <c r="E34" s="1"/>
  <c r="E6" i="15" s="1"/>
  <c r="J4" i="20" s="1"/>
  <c r="J26" i="12"/>
  <c r="I12" i="20"/>
  <c r="I31" s="1"/>
  <c r="I20"/>
  <c r="F25" i="12"/>
  <c r="F22"/>
  <c r="F19"/>
  <c r="F16"/>
  <c r="F13"/>
  <c r="F10"/>
  <c r="F7"/>
  <c r="G4"/>
  <c r="G28" s="1"/>
  <c r="M16" i="20"/>
  <c r="N14"/>
  <c r="N16" s="1"/>
  <c r="F17" s="1"/>
  <c r="F14" i="32"/>
  <c r="C14"/>
  <c r="F15"/>
  <c r="C15"/>
  <c r="Q5" i="30"/>
  <c r="R5"/>
  <c r="M5" i="21"/>
  <c r="L12"/>
  <c r="Q67" i="22" s="1"/>
  <c r="L11" i="21"/>
  <c r="Q72" i="22" s="1"/>
  <c r="L10" i="21"/>
  <c r="Q62" i="22" s="1"/>
  <c r="L9" i="21"/>
  <c r="Q57" i="22" s="1"/>
  <c r="L8" i="21"/>
  <c r="Q52" i="22" s="1"/>
  <c r="L7" i="21"/>
  <c r="Q36" i="22" s="1"/>
  <c r="L6" i="21"/>
  <c r="Q8" i="22" s="1"/>
  <c r="L13" i="21"/>
  <c r="N52" i="22"/>
  <c r="N53" s="1"/>
  <c r="O53"/>
  <c r="N57"/>
  <c r="N59" s="1"/>
  <c r="O59"/>
  <c r="H21" i="15" s="1"/>
  <c r="C38" i="7"/>
  <c r="J22" i="13"/>
  <c r="E22" s="1"/>
  <c r="C13" i="14" s="1"/>
  <c r="K13"/>
  <c r="E13" s="1"/>
  <c r="J16" s="1"/>
  <c r="J17" s="1"/>
  <c r="L14" i="21" l="1"/>
  <c r="J12" i="20"/>
  <c r="J31" s="1"/>
  <c r="J20"/>
  <c r="F30" i="12"/>
  <c r="F33" s="1"/>
  <c r="K26"/>
  <c r="P8" i="20"/>
  <c r="Q8"/>
  <c r="R8"/>
  <c r="S8"/>
  <c r="T8"/>
  <c r="U8"/>
  <c r="V8"/>
  <c r="W8"/>
  <c r="X8"/>
  <c r="O8"/>
  <c r="G17"/>
  <c r="G32" s="1"/>
  <c r="G33" s="1"/>
  <c r="H17"/>
  <c r="H32" s="1"/>
  <c r="H33" s="1"/>
  <c r="K17"/>
  <c r="K32" s="1"/>
  <c r="K33" s="1"/>
  <c r="J17"/>
  <c r="J32" s="1"/>
  <c r="I17"/>
  <c r="I32" s="1"/>
  <c r="G25" i="12"/>
  <c r="G22"/>
  <c r="G19"/>
  <c r="G16"/>
  <c r="G13"/>
  <c r="G10"/>
  <c r="G7"/>
  <c r="H4"/>
  <c r="H28" s="1"/>
  <c r="J33" i="20"/>
  <c r="I33"/>
  <c r="S5" i="30"/>
  <c r="T5"/>
  <c r="Q53" i="22"/>
  <c r="P52"/>
  <c r="P53" s="1"/>
  <c r="P57"/>
  <c r="P59" s="1"/>
  <c r="Q59"/>
  <c r="I21" i="15" s="1"/>
  <c r="N5" i="21"/>
  <c r="M12"/>
  <c r="S67" i="22" s="1"/>
  <c r="M11" i="21"/>
  <c r="S72" i="22" s="1"/>
  <c r="M10" i="21"/>
  <c r="S62" i="22" s="1"/>
  <c r="M9" i="21"/>
  <c r="S57" i="22" s="1"/>
  <c r="M8" i="21"/>
  <c r="S52" i="22" s="1"/>
  <c r="M7" i="21"/>
  <c r="S36" i="22" s="1"/>
  <c r="M6" i="21"/>
  <c r="S8" i="22" s="1"/>
  <c r="M13" i="21"/>
  <c r="E38" i="7"/>
  <c r="C32" i="6"/>
  <c r="K16" i="14"/>
  <c r="K17" s="1"/>
  <c r="B18"/>
  <c r="M14" i="21" l="1"/>
  <c r="G30" i="12"/>
  <c r="G33" s="1"/>
  <c r="H25"/>
  <c r="H22"/>
  <c r="H19"/>
  <c r="H16"/>
  <c r="H13"/>
  <c r="H10"/>
  <c r="H7"/>
  <c r="I4"/>
  <c r="I28" s="1"/>
  <c r="U5" i="30"/>
  <c r="V5"/>
  <c r="E32" i="6"/>
  <c r="S53" i="22"/>
  <c r="R52"/>
  <c r="R53" s="1"/>
  <c r="R57"/>
  <c r="R59" s="1"/>
  <c r="S59"/>
  <c r="J21" i="15" s="1"/>
  <c r="N12" i="21"/>
  <c r="U67" i="22" s="1"/>
  <c r="N11" i="21"/>
  <c r="U72" i="22" s="1"/>
  <c r="N10" i="21"/>
  <c r="U62" i="22" s="1"/>
  <c r="N9" i="21"/>
  <c r="U57" i="22" s="1"/>
  <c r="N8" i="21"/>
  <c r="U52" i="22" s="1"/>
  <c r="N7" i="21"/>
  <c r="U36" i="22" s="1"/>
  <c r="N6" i="21"/>
  <c r="U8" i="22" s="1"/>
  <c r="N13" i="21"/>
  <c r="C18" i="14"/>
  <c r="L16"/>
  <c r="L17" s="1"/>
  <c r="N14" i="21" l="1"/>
  <c r="H30" i="12"/>
  <c r="H33" s="1"/>
  <c r="I25"/>
  <c r="I22"/>
  <c r="I19"/>
  <c r="I16"/>
  <c r="I13"/>
  <c r="I10"/>
  <c r="I7"/>
  <c r="J4"/>
  <c r="J28" s="1"/>
  <c r="W5" i="30"/>
  <c r="X5"/>
  <c r="F32" i="6"/>
  <c r="U53" i="22"/>
  <c r="T52"/>
  <c r="T53" s="1"/>
  <c r="T57"/>
  <c r="T59" s="1"/>
  <c r="U59"/>
  <c r="K21" i="15" s="1"/>
  <c r="O38" i="7"/>
  <c r="D18" i="14"/>
  <c r="M16"/>
  <c r="M17" s="1"/>
  <c r="I30" i="12" l="1"/>
  <c r="I33" s="1"/>
  <c r="J25"/>
  <c r="J22"/>
  <c r="J19"/>
  <c r="J16"/>
  <c r="J13"/>
  <c r="J10"/>
  <c r="J7"/>
  <c r="K4"/>
  <c r="K28" s="1"/>
  <c r="B7" i="15"/>
  <c r="B11" s="1"/>
  <c r="E18" i="14"/>
  <c r="N16"/>
  <c r="N17" s="1"/>
  <c r="J30" i="12" l="1"/>
  <c r="J33" s="1"/>
  <c r="K25"/>
  <c r="K22"/>
  <c r="K19"/>
  <c r="K16"/>
  <c r="K13"/>
  <c r="K10"/>
  <c r="K7"/>
  <c r="C7" i="15"/>
  <c r="C11" s="1"/>
  <c r="F18" i="14"/>
  <c r="O16"/>
  <c r="O17" s="1"/>
  <c r="C6" i="22"/>
  <c r="G29" i="20"/>
  <c r="K30" i="12" l="1"/>
  <c r="K33" s="1"/>
  <c r="C10" i="22"/>
  <c r="C11"/>
  <c r="C12"/>
  <c r="C13"/>
  <c r="C14"/>
  <c r="C15"/>
  <c r="C9"/>
  <c r="C16" s="1"/>
  <c r="B18" i="15" s="1"/>
  <c r="C18" i="22"/>
  <c r="B8"/>
  <c r="D7" i="15"/>
  <c r="D11" s="1"/>
  <c r="G18" i="14"/>
  <c r="P16"/>
  <c r="P17" s="1"/>
  <c r="E6" i="22"/>
  <c r="H29" i="20"/>
  <c r="E15" i="22" l="1"/>
  <c r="E14"/>
  <c r="E13"/>
  <c r="E12"/>
  <c r="E11"/>
  <c r="E10"/>
  <c r="E9"/>
  <c r="E16" s="1"/>
  <c r="C18" i="15" s="1"/>
  <c r="D8" i="22"/>
  <c r="D16"/>
  <c r="E18"/>
  <c r="E7" i="15"/>
  <c r="E11" s="1"/>
  <c r="I6" i="22" s="1"/>
  <c r="H18" i="14"/>
  <c r="Q16"/>
  <c r="Q17" s="1"/>
  <c r="G6" i="22"/>
  <c r="I29" i="20"/>
  <c r="B16" i="22"/>
  <c r="I9" l="1"/>
  <c r="I10"/>
  <c r="I11"/>
  <c r="I12"/>
  <c r="I13"/>
  <c r="I14"/>
  <c r="I15"/>
  <c r="H8"/>
  <c r="H16" s="1"/>
  <c r="H18" s="1"/>
  <c r="T18" s="1"/>
  <c r="B18"/>
  <c r="N18" s="1"/>
  <c r="D18"/>
  <c r="P18" s="1"/>
  <c r="G15"/>
  <c r="G14"/>
  <c r="G13"/>
  <c r="G12"/>
  <c r="G11"/>
  <c r="G10"/>
  <c r="G9"/>
  <c r="G16" s="1"/>
  <c r="D18" i="15" s="1"/>
  <c r="G18" i="22"/>
  <c r="F8"/>
  <c r="F16"/>
  <c r="F7" i="15"/>
  <c r="F11" s="1"/>
  <c r="K6" i="22" s="1"/>
  <c r="R16" i="14"/>
  <c r="R17" s="1"/>
  <c r="I18"/>
  <c r="J29" i="20"/>
  <c r="K9" i="22" l="1"/>
  <c r="K10"/>
  <c r="K11"/>
  <c r="K12"/>
  <c r="K13"/>
  <c r="K14"/>
  <c r="K15"/>
  <c r="J8"/>
  <c r="J16" s="1"/>
  <c r="J18" s="1"/>
  <c r="L18" s="1"/>
  <c r="I16"/>
  <c r="I18" s="1"/>
  <c r="F18"/>
  <c r="R18" s="1"/>
  <c r="E18" i="15"/>
  <c r="G7"/>
  <c r="G11" s="1"/>
  <c r="M6" i="22" s="1"/>
  <c r="K29" i="20"/>
  <c r="M15" i="22" l="1"/>
  <c r="M14"/>
  <c r="M13"/>
  <c r="M12"/>
  <c r="M11"/>
  <c r="M10"/>
  <c r="M9"/>
  <c r="M16" s="1"/>
  <c r="G18" i="15" s="1"/>
  <c r="L8" i="22"/>
  <c r="L16" s="1"/>
  <c r="K16"/>
  <c r="K18" s="1"/>
  <c r="F18" i="15"/>
  <c r="S16" i="14"/>
  <c r="S17" s="1"/>
  <c r="D16" i="8"/>
  <c r="C39" i="7"/>
  <c r="E39"/>
  <c r="M18" i="22" l="1"/>
  <c r="H7" i="15"/>
  <c r="H11" s="1"/>
  <c r="O6" i="22" s="1"/>
  <c r="C33" i="6"/>
  <c r="D35" i="8"/>
  <c r="B4" i="29" s="1"/>
  <c r="C4" l="1"/>
  <c r="C7" s="1"/>
  <c r="B7"/>
  <c r="O15" i="22"/>
  <c r="O14"/>
  <c r="O13"/>
  <c r="O12"/>
  <c r="O11"/>
  <c r="O10"/>
  <c r="O9"/>
  <c r="O16" s="1"/>
  <c r="H18" i="15" s="1"/>
  <c r="N8" i="22"/>
  <c r="N16" s="1"/>
  <c r="T16" i="14"/>
  <c r="T17" s="1"/>
  <c r="E33" i="6"/>
  <c r="O39" i="7"/>
  <c r="O18" i="22" l="1"/>
  <c r="U16" i="14"/>
  <c r="U17" s="1"/>
  <c r="I7" i="15"/>
  <c r="I11" s="1"/>
  <c r="Q6" i="22" s="1"/>
  <c r="F33" i="6"/>
  <c r="Q15" i="22" l="1"/>
  <c r="Q14"/>
  <c r="Q13"/>
  <c r="Q12"/>
  <c r="Q11"/>
  <c r="Q10"/>
  <c r="Q9"/>
  <c r="Q16" s="1"/>
  <c r="I18" i="15" s="1"/>
  <c r="P8" i="22"/>
  <c r="P16" s="1"/>
  <c r="V16" i="14"/>
  <c r="J7" i="15"/>
  <c r="J11" s="1"/>
  <c r="S6" i="22" s="1"/>
  <c r="V17" i="14" l="1"/>
  <c r="K7" i="15" s="1"/>
  <c r="K11" s="1"/>
  <c r="U6" i="22" s="1"/>
  <c r="S15"/>
  <c r="S14"/>
  <c r="S13"/>
  <c r="S12"/>
  <c r="S11"/>
  <c r="S10"/>
  <c r="S9"/>
  <c r="S16" s="1"/>
  <c r="J18" i="15" s="1"/>
  <c r="R8" i="22"/>
  <c r="R16" s="1"/>
  <c r="Q18"/>
  <c r="U15" l="1"/>
  <c r="U14"/>
  <c r="U13"/>
  <c r="U12"/>
  <c r="U11"/>
  <c r="U10"/>
  <c r="U9"/>
  <c r="U16" s="1"/>
  <c r="K18" i="15" s="1"/>
  <c r="T8" i="22"/>
  <c r="T16" s="1"/>
  <c r="U18"/>
  <c r="S18"/>
  <c r="B31" i="4" l="1"/>
  <c r="D21" i="20"/>
  <c r="F21"/>
  <c r="F25"/>
  <c r="O9"/>
  <c r="O11"/>
  <c r="O12"/>
  <c r="B12" i="15"/>
  <c r="C31" i="22" s="1"/>
  <c r="B15" i="15"/>
  <c r="B73" i="22" l="1"/>
  <c r="E15" i="21"/>
  <c r="B68" i="22"/>
  <c r="B63"/>
  <c r="B72"/>
  <c r="B74" s="1"/>
  <c r="B67"/>
  <c r="B69" s="1"/>
  <c r="B62"/>
  <c r="B64" s="1"/>
  <c r="C38"/>
  <c r="C43"/>
  <c r="C42"/>
  <c r="C41"/>
  <c r="C40"/>
  <c r="C39"/>
  <c r="C27"/>
  <c r="C37"/>
  <c r="C44" s="1"/>
  <c r="C21"/>
  <c r="B36"/>
  <c r="F26" i="20"/>
  <c r="F28" s="1"/>
  <c r="G25"/>
  <c r="H25"/>
  <c r="I25"/>
  <c r="R9"/>
  <c r="R11" s="1"/>
  <c r="R12" s="1"/>
  <c r="E12" i="15" s="1"/>
  <c r="I31" i="22" s="1"/>
  <c r="P9" i="20"/>
  <c r="P11" s="1"/>
  <c r="P12" s="1"/>
  <c r="C12" i="15" s="1"/>
  <c r="Q9" i="20"/>
  <c r="Q11" s="1"/>
  <c r="Q12" s="1"/>
  <c r="D12" i="15" s="1"/>
  <c r="S9" i="20"/>
  <c r="S11" s="1"/>
  <c r="S12" s="1"/>
  <c r="F12" i="15" s="1"/>
  <c r="K31" i="22" s="1"/>
  <c r="T9" i="20"/>
  <c r="T11" s="1"/>
  <c r="T12" s="1"/>
  <c r="G12" i="15" s="1"/>
  <c r="U9" i="20"/>
  <c r="U11" s="1"/>
  <c r="U12" s="1"/>
  <c r="H12" i="15" s="1"/>
  <c r="V9" i="20"/>
  <c r="V11" s="1"/>
  <c r="V12" s="1"/>
  <c r="I12" i="15" s="1"/>
  <c r="W9" i="20"/>
  <c r="W11" s="1"/>
  <c r="W12" s="1"/>
  <c r="J12" i="15" s="1"/>
  <c r="X9" i="20"/>
  <c r="X11" s="1"/>
  <c r="X12" s="1"/>
  <c r="K12" i="15" s="1"/>
  <c r="J25" i="20"/>
  <c r="K25"/>
  <c r="K15" i="15" l="1"/>
  <c r="N15" i="21" s="1"/>
  <c r="U31" i="22"/>
  <c r="J15" i="15"/>
  <c r="M15" i="21" s="1"/>
  <c r="S31" i="22"/>
  <c r="I15" i="15"/>
  <c r="L15" i="21" s="1"/>
  <c r="Q31" i="22"/>
  <c r="H15" i="15"/>
  <c r="K15" i="21" s="1"/>
  <c r="O31" i="22"/>
  <c r="G15" i="15"/>
  <c r="J15" i="21" s="1"/>
  <c r="M31" i="22"/>
  <c r="K21"/>
  <c r="J36"/>
  <c r="J44" s="1"/>
  <c r="K27"/>
  <c r="K37"/>
  <c r="K38"/>
  <c r="K39"/>
  <c r="K40"/>
  <c r="K41"/>
  <c r="K42"/>
  <c r="K43"/>
  <c r="I21"/>
  <c r="I37"/>
  <c r="I38"/>
  <c r="I39"/>
  <c r="I40"/>
  <c r="I41"/>
  <c r="I42"/>
  <c r="I43"/>
  <c r="H36"/>
  <c r="H44" s="1"/>
  <c r="I27"/>
  <c r="T72"/>
  <c r="T67"/>
  <c r="T62"/>
  <c r="R72"/>
  <c r="R67"/>
  <c r="R62"/>
  <c r="P72"/>
  <c r="P67"/>
  <c r="P62"/>
  <c r="N72"/>
  <c r="N67"/>
  <c r="N62"/>
  <c r="L72"/>
  <c r="L67"/>
  <c r="L62"/>
  <c r="B44"/>
  <c r="K26" i="20"/>
  <c r="K28" s="1"/>
  <c r="K30" s="1"/>
  <c r="K34"/>
  <c r="K35" s="1"/>
  <c r="J26"/>
  <c r="J28" s="1"/>
  <c r="J30" s="1"/>
  <c r="J34"/>
  <c r="J35" s="1"/>
  <c r="F15" i="15"/>
  <c r="I15" i="21" s="1"/>
  <c r="G31" i="22"/>
  <c r="D15" i="15"/>
  <c r="G15" i="21" s="1"/>
  <c r="E31" i="22"/>
  <c r="C15" i="15"/>
  <c r="E15"/>
  <c r="H15" i="21" s="1"/>
  <c r="I26" i="20"/>
  <c r="I28" s="1"/>
  <c r="I30" s="1"/>
  <c r="I34"/>
  <c r="I35" s="1"/>
  <c r="H26"/>
  <c r="H28" s="1"/>
  <c r="H30" s="1"/>
  <c r="H34"/>
  <c r="H35" s="1"/>
  <c r="G34"/>
  <c r="G35" s="1"/>
  <c r="G26"/>
  <c r="G28" s="1"/>
  <c r="G30" s="1"/>
  <c r="C23" i="22"/>
  <c r="C22"/>
  <c r="C24" s="1"/>
  <c r="C28"/>
  <c r="C29"/>
  <c r="D73" l="1"/>
  <c r="F15" i="21"/>
  <c r="I28" i="22"/>
  <c r="I29"/>
  <c r="I22"/>
  <c r="I23"/>
  <c r="K28"/>
  <c r="K29"/>
  <c r="K22"/>
  <c r="K23"/>
  <c r="M43"/>
  <c r="M42"/>
  <c r="M41"/>
  <c r="M40"/>
  <c r="M39"/>
  <c r="M38"/>
  <c r="M37"/>
  <c r="M44" s="1"/>
  <c r="L36"/>
  <c r="L44" s="1"/>
  <c r="M27"/>
  <c r="M28" s="1"/>
  <c r="M29" s="1"/>
  <c r="M21"/>
  <c r="O43"/>
  <c r="O42"/>
  <c r="O41"/>
  <c r="O40"/>
  <c r="O39"/>
  <c r="O38"/>
  <c r="O37"/>
  <c r="O44" s="1"/>
  <c r="N36"/>
  <c r="N44" s="1"/>
  <c r="O27"/>
  <c r="O28" s="1"/>
  <c r="O29" s="1"/>
  <c r="O21"/>
  <c r="Q43"/>
  <c r="Q42"/>
  <c r="Q41"/>
  <c r="Q40"/>
  <c r="Q39"/>
  <c r="Q38"/>
  <c r="Q37"/>
  <c r="Q44" s="1"/>
  <c r="P36"/>
  <c r="P44" s="1"/>
  <c r="Q27"/>
  <c r="Q28" s="1"/>
  <c r="Q29" s="1"/>
  <c r="Q21"/>
  <c r="S43"/>
  <c r="S42"/>
  <c r="S41"/>
  <c r="S40"/>
  <c r="S39"/>
  <c r="S38"/>
  <c r="S37"/>
  <c r="S44" s="1"/>
  <c r="R36"/>
  <c r="R44" s="1"/>
  <c r="S27"/>
  <c r="S28" s="1"/>
  <c r="S29" s="1"/>
  <c r="S21"/>
  <c r="U43"/>
  <c r="U42"/>
  <c r="U41"/>
  <c r="U40"/>
  <c r="U39"/>
  <c r="U38"/>
  <c r="U37"/>
  <c r="U44" s="1"/>
  <c r="T36"/>
  <c r="T44" s="1"/>
  <c r="U27"/>
  <c r="U28" s="1"/>
  <c r="U29" s="1"/>
  <c r="U21"/>
  <c r="I44"/>
  <c r="K44"/>
  <c r="H73"/>
  <c r="H68"/>
  <c r="H63"/>
  <c r="H72"/>
  <c r="H67"/>
  <c r="H62"/>
  <c r="D68"/>
  <c r="D63"/>
  <c r="D72"/>
  <c r="D74" s="1"/>
  <c r="D67"/>
  <c r="D69" s="1"/>
  <c r="D62"/>
  <c r="D64" s="1"/>
  <c r="E38"/>
  <c r="E43"/>
  <c r="E42"/>
  <c r="E41"/>
  <c r="E40"/>
  <c r="E39"/>
  <c r="E27"/>
  <c r="E37"/>
  <c r="E44" s="1"/>
  <c r="D36"/>
  <c r="E21"/>
  <c r="F73"/>
  <c r="F68"/>
  <c r="F63"/>
  <c r="F72"/>
  <c r="F74" s="1"/>
  <c r="F67"/>
  <c r="F69" s="1"/>
  <c r="F62"/>
  <c r="F64" s="1"/>
  <c r="G43"/>
  <c r="G38"/>
  <c r="G39"/>
  <c r="G40"/>
  <c r="G41"/>
  <c r="G42"/>
  <c r="G27"/>
  <c r="G37"/>
  <c r="G44" s="1"/>
  <c r="F36"/>
  <c r="G21"/>
  <c r="J73"/>
  <c r="L73" s="1"/>
  <c r="J68"/>
  <c r="L68" s="1"/>
  <c r="J63"/>
  <c r="L63" s="1"/>
  <c r="J72"/>
  <c r="J67"/>
  <c r="J62"/>
  <c r="C32"/>
  <c r="C25"/>
  <c r="U23" l="1"/>
  <c r="U22"/>
  <c r="U24" s="1"/>
  <c r="U32" s="1"/>
  <c r="U33" s="1"/>
  <c r="U25"/>
  <c r="S23"/>
  <c r="S22"/>
  <c r="S24" s="1"/>
  <c r="S32" s="1"/>
  <c r="S33" s="1"/>
  <c r="S25"/>
  <c r="Q23"/>
  <c r="Q22"/>
  <c r="Q24" s="1"/>
  <c r="Q32" s="1"/>
  <c r="Q33" s="1"/>
  <c r="Q25"/>
  <c r="O23"/>
  <c r="O22"/>
  <c r="O24" s="1"/>
  <c r="O32" s="1"/>
  <c r="O33" s="1"/>
  <c r="O25"/>
  <c r="M23"/>
  <c r="M22"/>
  <c r="M24" s="1"/>
  <c r="M32" s="1"/>
  <c r="M33" s="1"/>
  <c r="M25"/>
  <c r="U46"/>
  <c r="S46"/>
  <c r="Q46"/>
  <c r="O46"/>
  <c r="M46"/>
  <c r="K24"/>
  <c r="I24"/>
  <c r="M63"/>
  <c r="M64" s="1"/>
  <c r="G23" i="15" s="1"/>
  <c r="N63" i="22"/>
  <c r="U68"/>
  <c r="U69" s="1"/>
  <c r="K24" i="15" s="1"/>
  <c r="S68" i="22"/>
  <c r="S69" s="1"/>
  <c r="J24" i="15" s="1"/>
  <c r="Q68" i="22"/>
  <c r="Q69" s="1"/>
  <c r="I24" i="15" s="1"/>
  <c r="O68" i="22"/>
  <c r="O69" s="1"/>
  <c r="H24" i="15" s="1"/>
  <c r="M68" i="22"/>
  <c r="M69" s="1"/>
  <c r="G24" i="15" s="1"/>
  <c r="N68" i="22"/>
  <c r="M73"/>
  <c r="M74" s="1"/>
  <c r="G25" i="15" s="1"/>
  <c r="N73" i="22"/>
  <c r="L74"/>
  <c r="L64"/>
  <c r="J64"/>
  <c r="J69"/>
  <c r="L69" s="1"/>
  <c r="J74"/>
  <c r="H64"/>
  <c r="H69"/>
  <c r="H74"/>
  <c r="F44"/>
  <c r="D44"/>
  <c r="B32"/>
  <c r="N32" s="1"/>
  <c r="C33"/>
  <c r="C46"/>
  <c r="G23"/>
  <c r="G22"/>
  <c r="G24" s="1"/>
  <c r="G28"/>
  <c r="G29"/>
  <c r="E23"/>
  <c r="E22"/>
  <c r="E24" s="1"/>
  <c r="E28"/>
  <c r="E29"/>
  <c r="I32" l="1"/>
  <c r="I25"/>
  <c r="K32"/>
  <c r="K25"/>
  <c r="G19" i="15"/>
  <c r="M48" i="22"/>
  <c r="H19" i="15"/>
  <c r="O48" i="22"/>
  <c r="I19" i="15"/>
  <c r="Q48" i="22"/>
  <c r="J19" i="15"/>
  <c r="S48" i="22"/>
  <c r="K19" i="15"/>
  <c r="U48" i="22"/>
  <c r="P73"/>
  <c r="O73"/>
  <c r="O74" s="1"/>
  <c r="H25" i="15" s="1"/>
  <c r="N74" i="22"/>
  <c r="P68"/>
  <c r="N69"/>
  <c r="P63"/>
  <c r="O63"/>
  <c r="O64" s="1"/>
  <c r="H23" i="15" s="1"/>
  <c r="H29" s="1"/>
  <c r="H31" s="1"/>
  <c r="N64" i="22"/>
  <c r="G29" i="15"/>
  <c r="G31" s="1"/>
  <c r="N33" i="22"/>
  <c r="N46"/>
  <c r="N48" s="1"/>
  <c r="C48"/>
  <c r="B19" i="15"/>
  <c r="B29" s="1"/>
  <c r="B31" s="1"/>
  <c r="B33" i="22"/>
  <c r="B46"/>
  <c r="E32"/>
  <c r="E25"/>
  <c r="G32"/>
  <c r="G25"/>
  <c r="J32" l="1"/>
  <c r="K33"/>
  <c r="K46"/>
  <c r="H32"/>
  <c r="I33"/>
  <c r="I46"/>
  <c r="G32" i="15"/>
  <c r="G37"/>
  <c r="G40" s="1"/>
  <c r="J9" i="16" s="1"/>
  <c r="J10" s="1"/>
  <c r="H32" i="15"/>
  <c r="H37"/>
  <c r="H40" s="1"/>
  <c r="K9" i="16" s="1"/>
  <c r="K10" s="1"/>
  <c r="R63" i="22"/>
  <c r="Q63"/>
  <c r="Q64" s="1"/>
  <c r="I23" i="15" s="1"/>
  <c r="P64" i="22"/>
  <c r="R68"/>
  <c r="P69"/>
  <c r="Q73"/>
  <c r="Q74" s="1"/>
  <c r="I25" i="15" s="1"/>
  <c r="R73" i="22"/>
  <c r="P74"/>
  <c r="B48"/>
  <c r="B32" i="15"/>
  <c r="B37"/>
  <c r="B40" s="1"/>
  <c r="E9" i="16" s="1"/>
  <c r="E10" s="1"/>
  <c r="F32" i="22"/>
  <c r="R32" s="1"/>
  <c r="G33"/>
  <c r="G46"/>
  <c r="D32"/>
  <c r="P32" s="1"/>
  <c r="E33"/>
  <c r="E46"/>
  <c r="E19" i="15" l="1"/>
  <c r="E29" s="1"/>
  <c r="E31" s="1"/>
  <c r="I48" i="22"/>
  <c r="T32"/>
  <c r="H33"/>
  <c r="H46"/>
  <c r="H48" s="1"/>
  <c r="F19" i="15"/>
  <c r="F29" s="1"/>
  <c r="F31" s="1"/>
  <c r="K48" i="22"/>
  <c r="L32"/>
  <c r="J33"/>
  <c r="J46"/>
  <c r="J48" s="1"/>
  <c r="S73"/>
  <c r="S74" s="1"/>
  <c r="J25" i="15" s="1"/>
  <c r="T73" i="22"/>
  <c r="R74"/>
  <c r="T68"/>
  <c r="T69" s="1"/>
  <c r="R69"/>
  <c r="T63"/>
  <c r="R64"/>
  <c r="S63"/>
  <c r="S64" s="1"/>
  <c r="J23" i="15" s="1"/>
  <c r="J29" s="1"/>
  <c r="J31" s="1"/>
  <c r="I29"/>
  <c r="I31" s="1"/>
  <c r="P33" i="22"/>
  <c r="P46"/>
  <c r="P48" s="1"/>
  <c r="R33"/>
  <c r="R46"/>
  <c r="R48" s="1"/>
  <c r="E48"/>
  <c r="C19" i="15"/>
  <c r="C29" s="1"/>
  <c r="C31" s="1"/>
  <c r="G48" i="22"/>
  <c r="D19" i="15"/>
  <c r="D29" s="1"/>
  <c r="D31" s="1"/>
  <c r="D33" i="22"/>
  <c r="D46"/>
  <c r="F33"/>
  <c r="F46"/>
  <c r="L33" l="1"/>
  <c r="L46"/>
  <c r="L48" s="1"/>
  <c r="F32" i="15"/>
  <c r="F37"/>
  <c r="F40" s="1"/>
  <c r="I9" i="16" s="1"/>
  <c r="I10" s="1"/>
  <c r="T33" i="22"/>
  <c r="T46"/>
  <c r="T48" s="1"/>
  <c r="E32" i="15"/>
  <c r="E37"/>
  <c r="E40" s="1"/>
  <c r="H9" i="16" s="1"/>
  <c r="H10" s="1"/>
  <c r="I32" i="15"/>
  <c r="I37"/>
  <c r="I40" s="1"/>
  <c r="L9" i="16" s="1"/>
  <c r="L10" s="1"/>
  <c r="J32" i="15"/>
  <c r="J37"/>
  <c r="J40" s="1"/>
  <c r="M9" i="16" s="1"/>
  <c r="M10" s="1"/>
  <c r="U63" i="22"/>
  <c r="U64" s="1"/>
  <c r="K23" i="15" s="1"/>
  <c r="T64" i="22"/>
  <c r="T74"/>
  <c r="U73"/>
  <c r="U74" s="1"/>
  <c r="K25" i="15" s="1"/>
  <c r="F48" i="22"/>
  <c r="D48"/>
  <c r="D32" i="15"/>
  <c r="D37"/>
  <c r="D40" s="1"/>
  <c r="G9" i="16" s="1"/>
  <c r="G10" s="1"/>
  <c r="C32" i="15"/>
  <c r="C37"/>
  <c r="C40" s="1"/>
  <c r="F9" i="16" s="1"/>
  <c r="F10" s="1"/>
  <c r="K29" i="15" l="1"/>
  <c r="K31" s="1"/>
  <c r="K32" l="1"/>
  <c r="K37"/>
  <c r="K40" s="1"/>
  <c r="N9" i="16" s="1"/>
  <c r="N10" s="1"/>
  <c r="M4" i="29" l="1"/>
  <c r="D7"/>
  <c r="M7" s="1"/>
  <c r="D8"/>
  <c r="F37" i="7" l="1"/>
  <c r="D9" i="29"/>
  <c r="F50" i="7" l="1"/>
  <c r="F43"/>
  <c r="F45" l="1"/>
  <c r="D13" i="29"/>
  <c r="D14"/>
  <c r="D15" s="1"/>
  <c r="E8" s="1"/>
  <c r="E9" l="1"/>
  <c r="G37" i="7"/>
  <c r="F52"/>
  <c r="B7" i="16" s="1"/>
  <c r="B20" l="1"/>
  <c r="B10"/>
  <c r="G43" i="7"/>
  <c r="G51"/>
  <c r="G50"/>
  <c r="E13" i="29" l="1"/>
  <c r="E14"/>
  <c r="E15" s="1"/>
  <c r="F8" s="1"/>
  <c r="G45" i="7"/>
  <c r="H37" l="1"/>
  <c r="F9" i="29"/>
  <c r="H51" i="7" l="1"/>
  <c r="H50"/>
  <c r="H43"/>
  <c r="G52"/>
  <c r="H45" l="1"/>
  <c r="F13" i="29"/>
  <c r="F14"/>
  <c r="F15" s="1"/>
  <c r="G8" s="1"/>
  <c r="I37" i="7" l="1"/>
  <c r="G9" i="29"/>
  <c r="H52" i="7" l="1"/>
  <c r="I51"/>
  <c r="I50"/>
  <c r="I43"/>
  <c r="I45" l="1"/>
  <c r="G13" i="29"/>
  <c r="G14"/>
  <c r="G15" s="1"/>
  <c r="H8" s="1"/>
  <c r="J37" i="7" l="1"/>
  <c r="H9" i="29"/>
  <c r="I52" i="7" l="1"/>
  <c r="J51"/>
  <c r="J50"/>
  <c r="J43"/>
  <c r="J45" l="1"/>
  <c r="H13" i="29"/>
  <c r="H14"/>
  <c r="H15" s="1"/>
  <c r="I8" s="1"/>
  <c r="I9" l="1"/>
  <c r="K37" i="7"/>
  <c r="K43" s="1"/>
  <c r="K45" s="1"/>
  <c r="J52" l="1"/>
  <c r="C7" i="16" s="1"/>
  <c r="C8"/>
  <c r="K50" i="7"/>
  <c r="K52" s="1"/>
  <c r="I13" i="29" l="1"/>
  <c r="I14"/>
  <c r="I15" s="1"/>
  <c r="J8" s="1"/>
  <c r="C29" i="16"/>
  <c r="C18"/>
  <c r="C10"/>
  <c r="C20"/>
  <c r="L37" i="7" l="1"/>
  <c r="L43" s="1"/>
  <c r="L45" s="1"/>
  <c r="J9" i="29"/>
  <c r="M12" l="1"/>
  <c r="L50" i="7"/>
  <c r="L52"/>
  <c r="J13" i="29" l="1"/>
  <c r="J14"/>
  <c r="J15" s="1"/>
  <c r="K8" s="1"/>
  <c r="K9" l="1"/>
  <c r="M50" i="7" s="1"/>
  <c r="M37"/>
  <c r="M43" s="1"/>
  <c r="M45" s="1"/>
  <c r="K13" i="29" l="1"/>
  <c r="K14"/>
  <c r="K15" s="1"/>
  <c r="L8" s="1"/>
  <c r="L9" l="1"/>
  <c r="N37" i="7"/>
  <c r="M8" i="29"/>
  <c r="C8"/>
  <c r="C9" l="1"/>
  <c r="B8"/>
  <c r="B61" i="25" s="1"/>
  <c r="D61" s="1"/>
  <c r="N43" i="7"/>
  <c r="O37"/>
  <c r="N50"/>
  <c r="M9" i="29"/>
  <c r="L14" l="1"/>
  <c r="L13"/>
  <c r="M13" s="1"/>
  <c r="M11"/>
  <c r="M17" s="1"/>
  <c r="N45" i="7"/>
  <c r="O43"/>
  <c r="B9" i="29"/>
  <c r="C37" i="7"/>
  <c r="C43" l="1"/>
  <c r="C45" s="1"/>
  <c r="C31" i="6"/>
  <c r="E37" i="7"/>
  <c r="E43" s="1"/>
  <c r="O45"/>
  <c r="N52" l="1"/>
  <c r="B16" i="19"/>
  <c r="E45" i="7"/>
  <c r="C36" i="6"/>
  <c r="C38" s="1"/>
  <c r="C40" s="1"/>
  <c r="E31"/>
  <c r="F31" l="1"/>
  <c r="F36" s="1"/>
  <c r="F38" s="1"/>
  <c r="E36"/>
  <c r="D45" i="7"/>
  <c r="E47"/>
  <c r="E52"/>
  <c r="B19" i="19"/>
  <c r="B23" s="1"/>
  <c r="B12" s="1"/>
  <c r="C16"/>
  <c r="D16" l="1"/>
  <c r="E51" i="7"/>
  <c r="E50"/>
  <c r="E38" i="6"/>
  <c r="D9" i="30"/>
  <c r="D12" l="1"/>
  <c r="E9"/>
  <c r="E12" s="1"/>
  <c r="F9"/>
  <c r="D38" i="6"/>
  <c r="D40" s="1"/>
  <c r="E40" s="1"/>
  <c r="E49"/>
  <c r="E47"/>
  <c r="F47" s="1"/>
  <c r="B10" i="19"/>
  <c r="E45" i="6"/>
  <c r="F45" s="1"/>
  <c r="B34" i="16"/>
  <c r="B7" i="19"/>
  <c r="C7" s="1"/>
  <c r="D7" s="1"/>
  <c r="E7" s="1"/>
  <c r="F7" s="1"/>
  <c r="G7" s="1"/>
  <c r="H7" s="1"/>
  <c r="I7" s="1"/>
  <c r="J7" s="1"/>
  <c r="K7" s="1"/>
  <c r="L7" s="1"/>
  <c r="E46" i="6"/>
  <c r="F46" s="1"/>
  <c r="E16" i="19"/>
  <c r="F16" l="1"/>
  <c r="O51" i="7"/>
  <c r="D8" i="16"/>
  <c r="L34"/>
  <c r="I36"/>
  <c r="H36"/>
  <c r="G36"/>
  <c r="F36"/>
  <c r="E36"/>
  <c r="D36"/>
  <c r="C36"/>
  <c r="C35"/>
  <c r="C10" i="19"/>
  <c r="D10" s="1"/>
  <c r="E10" s="1"/>
  <c r="F10" s="1"/>
  <c r="G10" s="1"/>
  <c r="H10" s="1"/>
  <c r="I10" s="1"/>
  <c r="J10" s="1"/>
  <c r="B8"/>
  <c r="F12" i="30"/>
  <c r="G9"/>
  <c r="G12" s="1"/>
  <c r="H9"/>
  <c r="C18" i="19"/>
  <c r="C19" s="1"/>
  <c r="E13" i="16"/>
  <c r="D18" i="19" l="1"/>
  <c r="H12" i="30"/>
  <c r="I9"/>
  <c r="I12" s="1"/>
  <c r="E18" i="19" s="1"/>
  <c r="J9" i="30"/>
  <c r="D19" i="19"/>
  <c r="F13" i="16"/>
  <c r="D35"/>
  <c r="B37"/>
  <c r="L36"/>
  <c r="F19"/>
  <c r="C39"/>
  <c r="G19"/>
  <c r="D39"/>
  <c r="H19"/>
  <c r="E39"/>
  <c r="I19"/>
  <c r="F39"/>
  <c r="J19"/>
  <c r="G39"/>
  <c r="K19"/>
  <c r="H39"/>
  <c r="L19"/>
  <c r="I39"/>
  <c r="M52" i="7"/>
  <c r="D7" i="16" s="1"/>
  <c r="O50" i="7"/>
  <c r="O52" s="1"/>
  <c r="D18" i="16"/>
  <c r="G16" i="19"/>
  <c r="H16" l="1"/>
  <c r="D10" i="16"/>
  <c r="C25" s="1"/>
  <c r="D20"/>
  <c r="C38"/>
  <c r="C40" s="1"/>
  <c r="F12" s="1"/>
  <c r="B38"/>
  <c r="E35"/>
  <c r="C37"/>
  <c r="D38" s="1"/>
  <c r="D40" s="1"/>
  <c r="G12" s="1"/>
  <c r="J12" i="30"/>
  <c r="K9"/>
  <c r="K12" s="1"/>
  <c r="F18" i="19" s="1"/>
  <c r="L9" i="30"/>
  <c r="E19" i="19"/>
  <c r="G13" i="16"/>
  <c r="L39"/>
  <c r="L12" i="30" l="1"/>
  <c r="M9"/>
  <c r="M12" s="1"/>
  <c r="G18" i="19" s="1"/>
  <c r="N9" i="30"/>
  <c r="F19" i="19"/>
  <c r="H13" i="16"/>
  <c r="G14"/>
  <c r="G16" s="1"/>
  <c r="D37"/>
  <c r="E38" s="1"/>
  <c r="E40" s="1"/>
  <c r="H12" s="1"/>
  <c r="F35"/>
  <c r="B40"/>
  <c r="F24"/>
  <c r="F14"/>
  <c r="F17"/>
  <c r="I16" i="19"/>
  <c r="J16" l="1"/>
  <c r="F18" i="16"/>
  <c r="F20"/>
  <c r="E12"/>
  <c r="E37"/>
  <c r="G35"/>
  <c r="H29"/>
  <c r="H14"/>
  <c r="H16" s="1"/>
  <c r="H17"/>
  <c r="G24"/>
  <c r="N12" i="30"/>
  <c r="O9"/>
  <c r="O12" s="1"/>
  <c r="H18" i="19" s="1"/>
  <c r="P9" i="30"/>
  <c r="G19" i="19"/>
  <c r="I13" i="16"/>
  <c r="G17"/>
  <c r="G18" l="1"/>
  <c r="G20"/>
  <c r="P12" i="30"/>
  <c r="Q9"/>
  <c r="Q12" s="1"/>
  <c r="I18" i="19" s="1"/>
  <c r="R9" i="30"/>
  <c r="H19" i="19"/>
  <c r="J13" i="16"/>
  <c r="H18"/>
  <c r="H20"/>
  <c r="H24"/>
  <c r="F37"/>
  <c r="G38" s="1"/>
  <c r="G40" s="1"/>
  <c r="J12" s="1"/>
  <c r="H35"/>
  <c r="F38"/>
  <c r="E14"/>
  <c r="E24"/>
  <c r="E17"/>
  <c r="F29"/>
  <c r="K16" i="19"/>
  <c r="L16" l="1"/>
  <c r="E18" i="16"/>
  <c r="E20"/>
  <c r="F40"/>
  <c r="G37"/>
  <c r="I35"/>
  <c r="H37" s="1"/>
  <c r="I38" s="1"/>
  <c r="I40" s="1"/>
  <c r="L12" s="1"/>
  <c r="L35"/>
  <c r="J14"/>
  <c r="J16" s="1"/>
  <c r="J17"/>
  <c r="R12" i="30"/>
  <c r="S9"/>
  <c r="S12" s="1"/>
  <c r="J18" i="19" s="1"/>
  <c r="T9" i="30"/>
  <c r="I19" i="19"/>
  <c r="K13" i="16"/>
  <c r="G29"/>
  <c r="T12" i="30" l="1"/>
  <c r="U9"/>
  <c r="U12" s="1"/>
  <c r="K18" i="19" s="1"/>
  <c r="V9" i="30"/>
  <c r="J19" i="19"/>
  <c r="L13" i="16"/>
  <c r="J18"/>
  <c r="J20"/>
  <c r="J24"/>
  <c r="L14"/>
  <c r="L16" s="1"/>
  <c r="L17"/>
  <c r="H38"/>
  <c r="L37"/>
  <c r="I12"/>
  <c r="E29"/>
  <c r="C30" s="1"/>
  <c r="E22"/>
  <c r="F21" l="1"/>
  <c r="F22" s="1"/>
  <c r="C21" i="19"/>
  <c r="C23" s="1"/>
  <c r="C12" s="1"/>
  <c r="C8" s="1"/>
  <c r="I14" i="16"/>
  <c r="I16" s="1"/>
  <c r="I17"/>
  <c r="H40"/>
  <c r="L38"/>
  <c r="L18"/>
  <c r="L20"/>
  <c r="L24"/>
  <c r="V12" i="30"/>
  <c r="W9"/>
  <c r="W12" s="1"/>
  <c r="L18" i="19" s="1"/>
  <c r="K19"/>
  <c r="M13" i="16"/>
  <c r="M14" s="1"/>
  <c r="M16" s="1"/>
  <c r="M17" l="1"/>
  <c r="L19" i="19"/>
  <c r="N13" i="16"/>
  <c r="N14" s="1"/>
  <c r="N16" s="1"/>
  <c r="K12"/>
  <c r="L40"/>
  <c r="I18"/>
  <c r="I20"/>
  <c r="I24"/>
  <c r="G21"/>
  <c r="G22" s="1"/>
  <c r="D21" i="19"/>
  <c r="D23" s="1"/>
  <c r="D12" s="1"/>
  <c r="D8" s="1"/>
  <c r="X9" i="30"/>
  <c r="X12" s="1"/>
  <c r="X14" s="1"/>
  <c r="H21" i="16" l="1"/>
  <c r="H22" s="1"/>
  <c r="E21" i="19"/>
  <c r="E23" s="1"/>
  <c r="E12" s="1"/>
  <c r="E8" s="1"/>
  <c r="K14" i="16"/>
  <c r="K16" s="1"/>
  <c r="K17"/>
  <c r="N17"/>
  <c r="M18"/>
  <c r="M20"/>
  <c r="N18" l="1"/>
  <c r="N20"/>
  <c r="K18"/>
  <c r="K20"/>
  <c r="C26"/>
  <c r="K24"/>
  <c r="B24"/>
  <c r="I21"/>
  <c r="I22" s="1"/>
  <c r="F21" i="19"/>
  <c r="F23" s="1"/>
  <c r="F12" s="1"/>
  <c r="F8" s="1"/>
  <c r="J21" i="16" l="1"/>
  <c r="J22" s="1"/>
  <c r="G21" i="19"/>
  <c r="G23" s="1"/>
  <c r="G12" s="1"/>
  <c r="G8" s="1"/>
  <c r="C27" i="16"/>
  <c r="K21" l="1"/>
  <c r="K22" s="1"/>
  <c r="H21" i="19"/>
  <c r="H23" s="1"/>
  <c r="H12" s="1"/>
  <c r="H8" s="1"/>
  <c r="L21" i="16" l="1"/>
  <c r="L22" s="1"/>
  <c r="I21" i="19"/>
  <c r="I23" s="1"/>
  <c r="I12" s="1"/>
  <c r="I8" s="1"/>
  <c r="M21" i="16" l="1"/>
  <c r="M22" s="1"/>
  <c r="J21" i="19"/>
  <c r="J23" s="1"/>
  <c r="J12" s="1"/>
  <c r="J8" s="1"/>
  <c r="N21" i="16" l="1"/>
  <c r="N22" s="1"/>
  <c r="L21" i="19" s="1"/>
  <c r="L23" s="1"/>
  <c r="L12" s="1"/>
  <c r="L8" s="1"/>
  <c r="K21"/>
  <c r="K23" s="1"/>
  <c r="K12" s="1"/>
  <c r="K8" s="1"/>
</calcChain>
</file>

<file path=xl/comments1.xml><?xml version="1.0" encoding="utf-8"?>
<comments xmlns="http://schemas.openxmlformats.org/spreadsheetml/2006/main">
  <authors>
    <author>krishnakumar</author>
  </authors>
  <commentList>
    <comment ref="E13" authorId="0">
      <text>
        <r>
          <rPr>
            <b/>
            <sz val="8"/>
            <color indexed="81"/>
            <rFont val="Tahoma"/>
            <family val="2"/>
          </rPr>
          <t>Lekrish:</t>
        </r>
        <r>
          <rPr>
            <sz val="8"/>
            <color indexed="81"/>
            <rFont val="Tahoma"/>
            <family val="2"/>
          </rPr>
          <t xml:space="preserve">
Times/Month</t>
        </r>
      </text>
    </comment>
    <comment ref="E14" authorId="0">
      <text>
        <r>
          <rPr>
            <b/>
            <sz val="8"/>
            <color indexed="81"/>
            <rFont val="Tahoma"/>
            <family val="2"/>
          </rPr>
          <t xml:space="preserve">Lekrish:
</t>
        </r>
        <r>
          <rPr>
            <sz val="8"/>
            <color indexed="81"/>
            <rFont val="Tahoma"/>
            <family val="2"/>
          </rPr>
          <t>Times/Month</t>
        </r>
      </text>
    </comment>
  </commentList>
</comments>
</file>

<file path=xl/comments2.xml><?xml version="1.0" encoding="utf-8"?>
<comments xmlns="http://schemas.openxmlformats.org/spreadsheetml/2006/main">
  <authors>
    <author>Lekha</author>
  </authors>
  <commentList>
    <comment ref="B7" authorId="0">
      <text>
        <r>
          <rPr>
            <b/>
            <sz val="8"/>
            <color indexed="81"/>
            <rFont val="Tahoma"/>
            <charset val="1"/>
          </rPr>
          <t>Lekrish:</t>
        </r>
        <r>
          <rPr>
            <sz val="8"/>
            <color indexed="81"/>
            <rFont val="Tahoma"/>
            <charset val="1"/>
          </rPr>
          <t xml:space="preserve">
Enter year: yyyy</t>
        </r>
      </text>
    </comment>
    <comment ref="G7" authorId="0">
      <text>
        <r>
          <rPr>
            <b/>
            <sz val="8"/>
            <color indexed="81"/>
            <rFont val="Tahoma"/>
            <charset val="1"/>
          </rPr>
          <t>Lekrish:
Enter year: yyyy</t>
        </r>
      </text>
    </comment>
    <comment ref="L7" authorId="0">
      <text>
        <r>
          <rPr>
            <b/>
            <sz val="8"/>
            <color indexed="81"/>
            <rFont val="Tahoma"/>
            <charset val="1"/>
          </rPr>
          <t>Lekrish:
Enter year: yyyy</t>
        </r>
      </text>
    </comment>
    <comment ref="Q7" authorId="0">
      <text>
        <r>
          <rPr>
            <b/>
            <sz val="8"/>
            <color indexed="81"/>
            <rFont val="Tahoma"/>
            <charset val="1"/>
          </rPr>
          <t>Lekrish:
Enter year: yyyy</t>
        </r>
      </text>
    </comment>
    <comment ref="V7" authorId="0">
      <text>
        <r>
          <rPr>
            <b/>
            <sz val="8"/>
            <color indexed="81"/>
            <rFont val="Tahoma"/>
            <charset val="1"/>
          </rPr>
          <t>Lekrish:
Enter year: yyyy</t>
        </r>
      </text>
    </comment>
    <comment ref="A9" authorId="0">
      <text>
        <r>
          <rPr>
            <b/>
            <sz val="8"/>
            <color indexed="81"/>
            <rFont val="Tahoma"/>
            <charset val="1"/>
          </rPr>
          <t>Lekrish:
Enter Hotel Name</t>
        </r>
      </text>
    </comment>
    <comment ref="A16" authorId="0">
      <text>
        <r>
          <rPr>
            <b/>
            <sz val="8"/>
            <color indexed="81"/>
            <rFont val="Tahoma"/>
            <charset val="1"/>
          </rPr>
          <t>Lekrish:
Enter Hotel Name</t>
        </r>
      </text>
    </comment>
    <comment ref="A57" authorId="0">
      <text>
        <r>
          <rPr>
            <b/>
            <sz val="8"/>
            <color indexed="81"/>
            <rFont val="Tahoma"/>
            <charset val="1"/>
          </rPr>
          <t>Lekrish:
Enter Hotel Name</t>
        </r>
      </text>
    </comment>
    <comment ref="A64" authorId="0">
      <text>
        <r>
          <rPr>
            <b/>
            <sz val="8"/>
            <color indexed="81"/>
            <rFont val="Tahoma"/>
            <charset val="1"/>
          </rPr>
          <t>Lekrish:
Enter Hotel Name</t>
        </r>
      </text>
    </comment>
    <comment ref="A75" authorId="0">
      <text>
        <r>
          <rPr>
            <b/>
            <sz val="8"/>
            <color indexed="81"/>
            <rFont val="Tahoma"/>
            <charset val="1"/>
          </rPr>
          <t>Lekrish:
Enter Hotel Name</t>
        </r>
      </text>
    </comment>
    <comment ref="A87" authorId="0">
      <text>
        <r>
          <rPr>
            <b/>
            <sz val="8"/>
            <color indexed="81"/>
            <rFont val="Tahoma"/>
            <charset val="1"/>
          </rPr>
          <t>Lekrish:
Enter Hotel Name</t>
        </r>
      </text>
    </comment>
    <comment ref="A97" authorId="0">
      <text>
        <r>
          <rPr>
            <b/>
            <sz val="8"/>
            <color indexed="81"/>
            <rFont val="Tahoma"/>
            <charset val="1"/>
          </rPr>
          <t>Lekrish:
Enter Hotel Name</t>
        </r>
      </text>
    </comment>
    <comment ref="A102" authorId="0">
      <text>
        <r>
          <rPr>
            <b/>
            <sz val="8"/>
            <color indexed="81"/>
            <rFont val="Tahoma"/>
            <charset val="1"/>
          </rPr>
          <t>Lekrish:
Enter Hotel Name</t>
        </r>
      </text>
    </comment>
    <comment ref="A105" authorId="0">
      <text>
        <r>
          <rPr>
            <b/>
            <sz val="8"/>
            <color indexed="81"/>
            <rFont val="Tahoma"/>
            <charset val="1"/>
          </rPr>
          <t>Lekrish:
Enter Hotel Name</t>
        </r>
      </text>
    </comment>
  </commentList>
</comments>
</file>

<file path=xl/comments3.xml><?xml version="1.0" encoding="utf-8"?>
<comments xmlns="http://schemas.openxmlformats.org/spreadsheetml/2006/main">
  <authors>
    <author>Lekha</author>
  </authors>
  <commentList>
    <comment ref="B19" authorId="0">
      <text>
        <r>
          <rPr>
            <b/>
            <sz val="8"/>
            <color indexed="81"/>
            <rFont val="Tahoma"/>
            <family val="2"/>
          </rPr>
          <t>Lekrish: Write the finacial year beginning. For (eg) for financial year 2007-08, write 2007 here and 2008 below.</t>
        </r>
        <r>
          <rPr>
            <sz val="8"/>
            <color indexed="81"/>
            <rFont val="Tahoma"/>
            <family val="2"/>
          </rPr>
          <t xml:space="preserve">
</t>
        </r>
      </text>
    </comment>
    <comment ref="B21" authorId="0">
      <text>
        <r>
          <rPr>
            <b/>
            <sz val="8"/>
            <color indexed="81"/>
            <rFont val="Tahoma"/>
            <charset val="1"/>
          </rPr>
          <t>Lekrish: yyyy</t>
        </r>
        <r>
          <rPr>
            <sz val="8"/>
            <color indexed="81"/>
            <rFont val="Tahoma"/>
            <charset val="1"/>
          </rPr>
          <t xml:space="preserve">
</t>
        </r>
      </text>
    </comment>
  </commentList>
</comments>
</file>

<file path=xl/comments4.xml><?xml version="1.0" encoding="utf-8"?>
<comments xmlns="http://schemas.openxmlformats.org/spreadsheetml/2006/main">
  <authors>
    <author>Lekha</author>
  </authors>
  <commentList>
    <comment ref="B4" authorId="0">
      <text>
        <r>
          <rPr>
            <b/>
            <sz val="8"/>
            <color indexed="81"/>
            <rFont val="Tahoma"/>
            <family val="2"/>
          </rPr>
          <t>Lekrish:</t>
        </r>
        <r>
          <rPr>
            <sz val="8"/>
            <color indexed="81"/>
            <rFont val="Tahoma"/>
            <family val="2"/>
          </rPr>
          <t xml:space="preserve">
The percentages in red colour can be changed according to preference.</t>
        </r>
      </text>
    </comment>
  </commentList>
</comments>
</file>

<file path=xl/sharedStrings.xml><?xml version="1.0" encoding="utf-8"?>
<sst xmlns="http://schemas.openxmlformats.org/spreadsheetml/2006/main" count="1245" uniqueCount="689">
  <si>
    <t>Particulars</t>
  </si>
  <si>
    <t>Acres</t>
  </si>
  <si>
    <t>Sq. ft.</t>
  </si>
  <si>
    <t>Plot Area</t>
  </si>
  <si>
    <t>Permissable FSI</t>
  </si>
  <si>
    <t>Non FSI Area proportion assumed</t>
  </si>
  <si>
    <t>Gross BuA</t>
  </si>
  <si>
    <t xml:space="preserve">Area </t>
  </si>
  <si>
    <t xml:space="preserve">       Sq Mts</t>
  </si>
  <si>
    <t>Sq Ft</t>
  </si>
  <si>
    <t xml:space="preserve">FSI AREA </t>
  </si>
  <si>
    <t xml:space="preserve">Guest Rooms </t>
  </si>
  <si>
    <t>Public Areas</t>
  </si>
  <si>
    <t>Guest Amenities / Retail</t>
  </si>
  <si>
    <t>F &amp; B Areas</t>
  </si>
  <si>
    <t>Banquet Areas</t>
  </si>
  <si>
    <t xml:space="preserve">Admn. Office </t>
  </si>
  <si>
    <t xml:space="preserve">Food Service Areas </t>
  </si>
  <si>
    <t xml:space="preserve">Employee Area </t>
  </si>
  <si>
    <t xml:space="preserve">Housekeeping / Laundry </t>
  </si>
  <si>
    <t xml:space="preserve">General Stores </t>
  </si>
  <si>
    <t>Engineering Areas</t>
  </si>
  <si>
    <t>Total Built Up Area</t>
  </si>
  <si>
    <t>Area per Key</t>
  </si>
  <si>
    <t>Basement Car Park</t>
  </si>
  <si>
    <t>Total Buildable Area</t>
  </si>
  <si>
    <t xml:space="preserve">Mechanical / Electrical </t>
  </si>
  <si>
    <t>Inflation</t>
  </si>
  <si>
    <t>Terminal growth after yr.10</t>
  </si>
  <si>
    <t>Debt</t>
  </si>
  <si>
    <t>Moratorium period (years)</t>
  </si>
  <si>
    <t>Repayment period (years)</t>
  </si>
  <si>
    <t>AREA STATEMENT –ROOMS &amp; PUBLIC AREAS</t>
  </si>
  <si>
    <t xml:space="preserve">Key Count </t>
  </si>
  <si>
    <t>Type</t>
  </si>
  <si>
    <t>Number</t>
  </si>
  <si>
    <t>Unit Bays</t>
  </si>
  <si>
    <t>Total Bays</t>
  </si>
  <si>
    <t>Keys</t>
  </si>
  <si>
    <t>Standard</t>
  </si>
  <si>
    <t>Deluxe</t>
  </si>
  <si>
    <t>Suites</t>
  </si>
  <si>
    <t>Total</t>
  </si>
  <si>
    <t>Guest Rooms &amp; Corridors - Bay Size</t>
  </si>
  <si>
    <t>Total Area</t>
  </si>
  <si>
    <t xml:space="preserve">Type </t>
  </si>
  <si>
    <t>Sq Mts</t>
  </si>
  <si>
    <t>Circulation @ 25%</t>
  </si>
  <si>
    <t>Total / Average</t>
  </si>
  <si>
    <t>Valet Stand</t>
  </si>
  <si>
    <t>Lobby Entrance</t>
  </si>
  <si>
    <t>Lobby</t>
  </si>
  <si>
    <t>Luggage Room</t>
  </si>
  <si>
    <t>Front Desk</t>
  </si>
  <si>
    <t>Concierge</t>
  </si>
  <si>
    <t>Toilets</t>
  </si>
  <si>
    <t>Tour Desk</t>
  </si>
  <si>
    <t>Circulation @ 20%</t>
  </si>
  <si>
    <t>Retail</t>
  </si>
  <si>
    <t xml:space="preserve">Sq Ft </t>
  </si>
  <si>
    <t>Shops / Retail</t>
  </si>
  <si>
    <t>Guest Amenities / Recreation</t>
  </si>
  <si>
    <t>Fitness Center</t>
  </si>
  <si>
    <t>Outdoor Pool (not included in BUA)</t>
  </si>
  <si>
    <t>Pool Deck Area (not included in BUA)</t>
  </si>
  <si>
    <t>Seats</t>
  </si>
  <si>
    <t>Coffee Shop</t>
  </si>
  <si>
    <t>Restaurant and Bar</t>
  </si>
  <si>
    <t>Speciality Restaurant</t>
  </si>
  <si>
    <t>Lounge</t>
  </si>
  <si>
    <t>Toilet</t>
  </si>
  <si>
    <t>Banquet 2 / Meeting Rooms</t>
  </si>
  <si>
    <t>Banquet 1</t>
  </si>
  <si>
    <t>Back of the House Areas</t>
  </si>
  <si>
    <t>Kitchen Areas</t>
  </si>
  <si>
    <t>Employee Area</t>
  </si>
  <si>
    <t>Administration Office</t>
  </si>
  <si>
    <t>Housekeeping / Laundry</t>
  </si>
  <si>
    <t>Engineering / Plant Room</t>
  </si>
  <si>
    <t>Mechanical / Electrical</t>
  </si>
  <si>
    <t>General Stores</t>
  </si>
  <si>
    <t xml:space="preserve">No. </t>
  </si>
  <si>
    <t>Present</t>
  </si>
  <si>
    <t>Escal.</t>
  </si>
  <si>
    <t xml:space="preserve">       Cost</t>
  </si>
  <si>
    <t>Landscape</t>
  </si>
  <si>
    <t>Built Items - Outside Covered Area</t>
  </si>
  <si>
    <t>Civil Works- Basic Skeleton</t>
  </si>
  <si>
    <t>Civil Linked Finishes (Exterior)</t>
  </si>
  <si>
    <t>Interior Finishes – Civil</t>
  </si>
  <si>
    <t xml:space="preserve">       Total – Buildings</t>
  </si>
  <si>
    <t>Mechanical – HVAC</t>
  </si>
  <si>
    <t>Plumbing &amp; Fire Fighting</t>
  </si>
  <si>
    <t>Electrical</t>
  </si>
  <si>
    <t>Low Voltage System</t>
  </si>
  <si>
    <t>Vertical Transportation</t>
  </si>
  <si>
    <t>Motor Vehicles</t>
  </si>
  <si>
    <t>Kitchen / Food Service Eqpt.</t>
  </si>
  <si>
    <t>SPool, HClub &amp; Laundry Eqpt.</t>
  </si>
  <si>
    <t>Interior Work - Rooms And Suites</t>
  </si>
  <si>
    <t>Interior Work - Public F &amp; B Outlets</t>
  </si>
  <si>
    <t xml:space="preserve">Interior Work - Pub Revenue </t>
  </si>
  <si>
    <t xml:space="preserve">Interior Work - Pub Non-Revenue </t>
  </si>
  <si>
    <t xml:space="preserve">Interior Work - Back of the House </t>
  </si>
  <si>
    <t>Operating Supplies</t>
  </si>
  <si>
    <t xml:space="preserve">       Total - Hotel &amp; Services</t>
  </si>
  <si>
    <t>Interest During Construction Period</t>
  </si>
  <si>
    <t>Design / Project Implementation Costs</t>
  </si>
  <si>
    <t>Advisory / Consultancy Fees</t>
  </si>
  <si>
    <t>Preliminary Expenses</t>
  </si>
  <si>
    <t>Pre-Opening Expenses</t>
  </si>
  <si>
    <t xml:space="preserve">       Grand Total Including Land</t>
  </si>
  <si>
    <t xml:space="preserve">       Cost per Key without Land</t>
  </si>
  <si>
    <t xml:space="preserve">       Number of Keys</t>
  </si>
  <si>
    <t xml:space="preserve">Financed by : </t>
  </si>
  <si>
    <t>Equity</t>
  </si>
  <si>
    <t>Total Project Cost</t>
  </si>
  <si>
    <t>excl. land</t>
  </si>
  <si>
    <t>PROJECT COST SUMMARY AND FUNDING PATTERN</t>
  </si>
  <si>
    <t xml:space="preserve">Escal. </t>
  </si>
  <si>
    <t>Final Cost</t>
  </si>
  <si>
    <t>Cost</t>
  </si>
  <si>
    <t>Rs.Lakhs</t>
  </si>
  <si>
    <t>Buildings</t>
  </si>
  <si>
    <t xml:space="preserve"> Landscape</t>
  </si>
  <si>
    <t xml:space="preserve"> Built Items - Outside Covered Area</t>
  </si>
  <si>
    <t xml:space="preserve"> Civil Works- Basic Skeketon Services</t>
  </si>
  <si>
    <t xml:space="preserve"> Civil Linked Finishes (Exterior)</t>
  </si>
  <si>
    <t xml:space="preserve"> Interior Finishes – Civil</t>
  </si>
  <si>
    <t>Kitchen / Food Service Equipment</t>
  </si>
  <si>
    <t>Swimming Pool, Health Club &amp; Sports</t>
  </si>
  <si>
    <t>Total - Plant &amp; Machinery</t>
  </si>
  <si>
    <t>-</t>
  </si>
  <si>
    <t>Interior Work - Public Revenue Areas</t>
  </si>
  <si>
    <t>Interior Work - Public Non-Revenue Area</t>
  </si>
  <si>
    <t>Interior Work - Back of the House Areas</t>
  </si>
  <si>
    <t>Total - Furniture &amp; Fixt</t>
  </si>
  <si>
    <t>Total - Hotel &amp; Services</t>
  </si>
  <si>
    <t>FSI WORKING &amp; ASSUMPTIONS</t>
  </si>
  <si>
    <t>Column1</t>
  </si>
  <si>
    <t>Column2</t>
  </si>
  <si>
    <t>AREA STATEMENT –SUMMARY</t>
  </si>
  <si>
    <t>Column3</t>
  </si>
  <si>
    <t>Column4</t>
  </si>
  <si>
    <t>Column5</t>
  </si>
  <si>
    <t xml:space="preserve">SUMMARISED PROJECT COST STATEMENT </t>
  </si>
  <si>
    <t>Plant &amp; Machinery6 Mechanical – HVAC</t>
  </si>
  <si>
    <t>Furniture, Fixtures &amp; Furnishings</t>
  </si>
  <si>
    <t>Project Cost</t>
  </si>
  <si>
    <t>Land value</t>
  </si>
  <si>
    <t>Pre - Operative Expenses</t>
  </si>
  <si>
    <t>Design / Project Mgmt Fees</t>
  </si>
  <si>
    <t>Working Capital Margin</t>
  </si>
  <si>
    <t>Total Pre-Operative Exp.</t>
  </si>
  <si>
    <t>Grand Total Including Land</t>
  </si>
  <si>
    <t>Cost per Key excluding Land</t>
  </si>
  <si>
    <t>DETAILED PROJECT COST –PRELIMINARY EXPENSES</t>
  </si>
  <si>
    <t>Design / Project Mgmt /</t>
  </si>
  <si>
    <t>Contract</t>
  </si>
  <si>
    <t>% of</t>
  </si>
  <si>
    <t>Consultants' Fees</t>
  </si>
  <si>
    <t>Value</t>
  </si>
  <si>
    <t>Interior Designers Fees</t>
  </si>
  <si>
    <t>Architects Fees</t>
  </si>
  <si>
    <t>Project Mgmt. Expenses</t>
  </si>
  <si>
    <t>Sub- Total</t>
  </si>
  <si>
    <t>Advisors - Project evaluation; Others</t>
  </si>
  <si>
    <t>Loan Processing / Syndication</t>
  </si>
  <si>
    <t>Technical Fees to Operator</t>
  </si>
  <si>
    <t>Development Consultants</t>
  </si>
  <si>
    <t>Relocation \ Orientation \ Training</t>
  </si>
  <si>
    <t>]</t>
  </si>
  <si>
    <t>Recipe Testing</t>
  </si>
  <si>
    <t>Operational Forms</t>
  </si>
  <si>
    <t>Operational Office Expense</t>
  </si>
  <si>
    <t>Operational Site Visitation</t>
  </si>
  <si>
    <t>Sub - Total</t>
  </si>
  <si>
    <t>Staff Salaries</t>
  </si>
  <si>
    <t>Telecommunications</t>
  </si>
  <si>
    <t>Travel</t>
  </si>
  <si>
    <t>Postage</t>
  </si>
  <si>
    <t>Sales &amp; Marketing</t>
  </si>
  <si>
    <t>PR Expenses</t>
  </si>
  <si>
    <t>Total Pre-Operative Expenses</t>
  </si>
  <si>
    <t>COMPETITOR RACK RATES</t>
  </si>
  <si>
    <t>No. of</t>
  </si>
  <si>
    <t>Comp.</t>
  </si>
  <si>
    <t>Competitive Hotels</t>
  </si>
  <si>
    <t>Rooms</t>
  </si>
  <si>
    <t>%</t>
  </si>
  <si>
    <t>Single</t>
  </si>
  <si>
    <t>Double</t>
  </si>
  <si>
    <t>Category I</t>
  </si>
  <si>
    <t>Category II</t>
  </si>
  <si>
    <t>Total / Wtd Avg.</t>
  </si>
  <si>
    <t>FIT Rack Rates (Rs.)</t>
  </si>
  <si>
    <t>COMPETITOR PERFORMANCE</t>
  </si>
  <si>
    <t>FY 2008</t>
  </si>
  <si>
    <t>ARR</t>
  </si>
  <si>
    <t>OCC</t>
  </si>
  <si>
    <t>Hotels - Category II</t>
  </si>
  <si>
    <t>FUTURE SUPPLY</t>
  </si>
  <si>
    <t>Opening</t>
  </si>
  <si>
    <t>New Room Supply</t>
  </si>
  <si>
    <t>Inc.</t>
  </si>
  <si>
    <t>Competitive Room Supply</t>
  </si>
  <si>
    <t>Date</t>
  </si>
  <si>
    <t>Hotel</t>
  </si>
  <si>
    <t>S.A.</t>
  </si>
  <si>
    <t>Avg.</t>
  </si>
  <si>
    <t>Yr End</t>
  </si>
  <si>
    <t>Prop.</t>
  </si>
  <si>
    <t>Share</t>
  </si>
  <si>
    <t>Others</t>
  </si>
  <si>
    <t>Fair Market Share</t>
  </si>
  <si>
    <t>OCCUPANCY PROJECTION</t>
  </si>
  <si>
    <t>Year ending March</t>
  </si>
  <si>
    <t>FY 2011</t>
  </si>
  <si>
    <t>FY 2012</t>
  </si>
  <si>
    <t>FY 2013</t>
  </si>
  <si>
    <t>FY 2014</t>
  </si>
  <si>
    <t>FY 2015</t>
  </si>
  <si>
    <t>FY 2016</t>
  </si>
  <si>
    <t>FY 2017</t>
  </si>
  <si>
    <t>FY 2018</t>
  </si>
  <si>
    <t>FY 2019</t>
  </si>
  <si>
    <t>FY 2020</t>
  </si>
  <si>
    <t>Fair Share</t>
  </si>
  <si>
    <t>Area Wide FFIT Demand</t>
  </si>
  <si>
    <t>Projected % of Fair Share</t>
  </si>
  <si>
    <t>Potential Demand</t>
  </si>
  <si>
    <t>Area Wide DFIT Demand</t>
  </si>
  <si>
    <t>Area Wide DCVGR Demand</t>
  </si>
  <si>
    <t>Area Wide FCVGR Demand</t>
  </si>
  <si>
    <t>Area Wide Crew Demand</t>
  </si>
  <si>
    <t>Area Wide Conf Demand</t>
  </si>
  <si>
    <t>Total Daily Potential Room</t>
  </si>
  <si>
    <t>Demand For Hotel</t>
  </si>
  <si>
    <t>Total Daily Available Rooms</t>
  </si>
  <si>
    <t>Projected Daily Occupancy</t>
  </si>
  <si>
    <t>Occ. Used In Forecast</t>
  </si>
  <si>
    <t>AVERAGE RACK RATE CALCULATION</t>
  </si>
  <si>
    <t>Type of Room</t>
  </si>
  <si>
    <t>Bays</t>
  </si>
  <si>
    <t>(For FIT Traffic)</t>
  </si>
  <si>
    <t>Extra B.</t>
  </si>
  <si>
    <t>Superior Rooms</t>
  </si>
  <si>
    <t>Premium Rooms</t>
  </si>
  <si>
    <t>Executive Suites</t>
  </si>
  <si>
    <t>Avg Rack Rate for FIT</t>
  </si>
  <si>
    <t>Rates excluding Tax</t>
  </si>
  <si>
    <t>SINGLE / DOUBLE CONFIGURATION &amp; ARR CALCULATION</t>
  </si>
  <si>
    <t>Traffic Segment</t>
  </si>
  <si>
    <t>Extra</t>
  </si>
  <si>
    <t>Average</t>
  </si>
  <si>
    <t>Segment</t>
  </si>
  <si>
    <t>(%)</t>
  </si>
  <si>
    <t>Bed</t>
  </si>
  <si>
    <t>FFIT</t>
  </si>
  <si>
    <t>DFIT</t>
  </si>
  <si>
    <t>DCVGR</t>
  </si>
  <si>
    <t>FCVGR</t>
  </si>
  <si>
    <t>Long Stay</t>
  </si>
  <si>
    <t>Crew</t>
  </si>
  <si>
    <t>Conference</t>
  </si>
  <si>
    <t>ARR PROJECTION</t>
  </si>
  <si>
    <t>Seg. Rate</t>
  </si>
  <si>
    <t>Rack</t>
  </si>
  <si>
    <t>Discount</t>
  </si>
  <si>
    <t>After</t>
  </si>
  <si>
    <t>Rate</t>
  </si>
  <si>
    <t>Year Ending March 31</t>
  </si>
  <si>
    <t>FY 2009</t>
  </si>
  <si>
    <t>FY 2010</t>
  </si>
  <si>
    <t>Inflation Rate (%)</t>
  </si>
  <si>
    <t>Rate Inc / (dec)</t>
  </si>
  <si>
    <t>ARR (Rs.)</t>
  </si>
  <si>
    <t>Growth / Decline</t>
  </si>
  <si>
    <t>Demand</t>
  </si>
  <si>
    <t>Supply</t>
  </si>
  <si>
    <t>Net Change</t>
  </si>
  <si>
    <t>PROJECTED WORKING RESULTS</t>
  </si>
  <si>
    <t>Year</t>
  </si>
  <si>
    <t>No of Rooms</t>
  </si>
  <si>
    <t>No. of days</t>
  </si>
  <si>
    <t>Expected Occupancy (%)</t>
  </si>
  <si>
    <t>Income</t>
  </si>
  <si>
    <t>Room Revenue</t>
  </si>
  <si>
    <t>F&amp;B Revenue</t>
  </si>
  <si>
    <t>Telephone Revenue</t>
  </si>
  <si>
    <t>Other Revenue</t>
  </si>
  <si>
    <t>Total Income</t>
  </si>
  <si>
    <t>Departmental Expenses</t>
  </si>
  <si>
    <t>Room Department Cost</t>
  </si>
  <si>
    <t>F&amp;B Department Cost</t>
  </si>
  <si>
    <t>Telephone Costs</t>
  </si>
  <si>
    <t>Other Dept. Costs</t>
  </si>
  <si>
    <t>Undistributed Expenses</t>
  </si>
  <si>
    <t>Admin &amp; General</t>
  </si>
  <si>
    <t>Marketing</t>
  </si>
  <si>
    <t>Property Operations &amp; Maint.</t>
  </si>
  <si>
    <t>Energy</t>
  </si>
  <si>
    <t>Marketing Fees</t>
  </si>
  <si>
    <t>Base Fee</t>
  </si>
  <si>
    <t>Total Expenses</t>
  </si>
  <si>
    <t>Gross Op Profit (GOP)</t>
  </si>
  <si>
    <t>(as a % of t/o)</t>
  </si>
  <si>
    <t>Incentive Fee</t>
  </si>
  <si>
    <t>Replacement Reserve</t>
  </si>
  <si>
    <t>Property Tax</t>
  </si>
  <si>
    <t>Cash Return from Hotel Ops</t>
  </si>
  <si>
    <t>Add : Net Retail Rentals</t>
  </si>
  <si>
    <t>Total Cash Returns</t>
  </si>
  <si>
    <t>Statement of Projected Cashflow from Operations - Rooms &amp; F&amp;B</t>
  </si>
  <si>
    <t>Years</t>
  </si>
  <si>
    <t>Equity Cost</t>
  </si>
  <si>
    <t>Cash Flow from Ops(PBIDT)</t>
  </si>
  <si>
    <t>Cash Flow from Ops (PBIDT)</t>
  </si>
  <si>
    <t>Less: Interest on Loan</t>
  </si>
  <si>
    <t>Less: Tax</t>
  </si>
  <si>
    <t>Cash Flow After Tax &amp; Interest</t>
  </si>
  <si>
    <t>Capital Repayments</t>
  </si>
  <si>
    <t>Surplus\(Deficit) in the year</t>
  </si>
  <si>
    <t>Surplus\(Deficit) Brought Forward</t>
  </si>
  <si>
    <t>Cummulative Surplus\(Deficit)</t>
  </si>
  <si>
    <t>11 times EBIDTA less Debt o/s.</t>
  </si>
  <si>
    <t>Repayment</t>
  </si>
  <si>
    <t>Interest on B/fwd</t>
  </si>
  <si>
    <t>Interest on period</t>
  </si>
  <si>
    <t>Total Interest for the year</t>
  </si>
  <si>
    <t>SUMMARISED BALANCE SHEET</t>
  </si>
  <si>
    <t>Constr.</t>
  </si>
  <si>
    <t>Period</t>
  </si>
  <si>
    <t>Share Holders Funds</t>
  </si>
  <si>
    <t>Share Capital</t>
  </si>
  <si>
    <t>Sources of Funds</t>
  </si>
  <si>
    <t>Reserves &amp; Surplus</t>
  </si>
  <si>
    <t>Secured &amp; Unsecured Loans</t>
  </si>
  <si>
    <t>From Institution</t>
  </si>
  <si>
    <t>Capital W.I.P</t>
  </si>
  <si>
    <t>Other Fixed Assets Incl Int. Cost</t>
  </si>
  <si>
    <t>Land</t>
  </si>
  <si>
    <t>Less:Dep Till Date</t>
  </si>
  <si>
    <t>Application of Funds</t>
  </si>
  <si>
    <t>Fixed Assets(WDV)</t>
  </si>
  <si>
    <t>Current Assets</t>
  </si>
  <si>
    <t>Cash &amp; Bank Balances</t>
  </si>
  <si>
    <t>F&amp;B REVENUE STATEMENT</t>
  </si>
  <si>
    <t>Outlets</t>
  </si>
  <si>
    <t>Inflation Factor</t>
  </si>
  <si>
    <t>Restaurants</t>
  </si>
  <si>
    <t>Outsider Proportion</t>
  </si>
  <si>
    <t>Room Service (No of Rooms)</t>
  </si>
  <si>
    <t>Single Occupancy</t>
  </si>
  <si>
    <t>Double Occupancy</t>
  </si>
  <si>
    <t>% of Guests Using Room Service</t>
  </si>
  <si>
    <t>Charges per Guest</t>
  </si>
  <si>
    <t>Banquets/Functions</t>
  </si>
  <si>
    <t>Banquet Room1</t>
  </si>
  <si>
    <t>Banquet Room 2 / Meeting Rooms</t>
  </si>
  <si>
    <t>Average Banquet Rate</t>
  </si>
  <si>
    <t>F&amp;B Revenue as % of Room Revenue</t>
  </si>
  <si>
    <t>DEPARTMENT-WISE ALLOCATION OF PERSONNEL COST</t>
  </si>
  <si>
    <t>Department</t>
  </si>
  <si>
    <t>Empl.</t>
  </si>
  <si>
    <t>Mthly Pay</t>
  </si>
  <si>
    <t>Ann. Pay</t>
  </si>
  <si>
    <t>Nos.</t>
  </si>
  <si>
    <t>incl Benefits</t>
  </si>
  <si>
    <t>F&amp;B</t>
  </si>
  <si>
    <t>Telephone</t>
  </si>
  <si>
    <t>Other Depts</t>
  </si>
  <si>
    <t>Admt &amp; Gen</t>
  </si>
  <si>
    <t>Property Operations</t>
  </si>
  <si>
    <t>Proportion to Turnover</t>
  </si>
  <si>
    <t>OPERATING RATIOS</t>
  </si>
  <si>
    <t>FY</t>
  </si>
  <si>
    <t>Rooms Operations</t>
  </si>
  <si>
    <t>Rooms Net Revenue</t>
  </si>
  <si>
    <t>Rooms Department Cost</t>
  </si>
  <si>
    <t>Salaries &amp; Wages (includes Benefits)</t>
  </si>
  <si>
    <t>Laundry and Dry Cleaning</t>
  </si>
  <si>
    <t>Guest Supplies</t>
  </si>
  <si>
    <t>China,Glassware,Silver and Linen</t>
  </si>
  <si>
    <t>Commission</t>
  </si>
  <si>
    <t>Reservation Expenses</t>
  </si>
  <si>
    <t>Contact Cleaning</t>
  </si>
  <si>
    <t>All Other Expenses</t>
  </si>
  <si>
    <t>Total Rooms Department Cost</t>
  </si>
  <si>
    <t>Rooms Department Income</t>
  </si>
  <si>
    <t>Food &amp; Beverage Operations</t>
  </si>
  <si>
    <t>Food Net Revenue</t>
  </si>
  <si>
    <t>Cost of Food Consumed (Outsiders)</t>
  </si>
  <si>
    <t>Add : Cost of Employees' Meals</t>
  </si>
  <si>
    <t>Cost of Food Sales</t>
  </si>
  <si>
    <t>Food Gross Profit</t>
  </si>
  <si>
    <t>Beverage Net Revenue</t>
  </si>
  <si>
    <t>Cost of Beverage Sales</t>
  </si>
  <si>
    <t>Beverage Gross Profit</t>
  </si>
  <si>
    <t>Total Food &amp; Beverage Revenue</t>
  </si>
  <si>
    <t>Net Cost of Food &amp; Beverage Revenue</t>
  </si>
  <si>
    <t>Gross Profit on Combined Sales</t>
  </si>
  <si>
    <t>F &amp; B Department Expenses</t>
  </si>
  <si>
    <t>Music and Entertainment</t>
  </si>
  <si>
    <t>Kitchen Fuel</t>
  </si>
  <si>
    <t>China, Glassware, Silver and Linen</t>
  </si>
  <si>
    <t>Contract Cleaning</t>
  </si>
  <si>
    <t>Licenses</t>
  </si>
  <si>
    <t>Food &amp; Beverage Expenses</t>
  </si>
  <si>
    <t>Total F &amp; B Departmental Expenses</t>
  </si>
  <si>
    <t>F &amp; B Departmental Income</t>
  </si>
  <si>
    <t>Telephone Department</t>
  </si>
  <si>
    <t>Telephone Department Cost</t>
  </si>
  <si>
    <t>MOD Income</t>
  </si>
  <si>
    <t>Other Department Cost</t>
  </si>
  <si>
    <t>Administration &amp; General</t>
  </si>
  <si>
    <t>Others (inc CC Commis)</t>
  </si>
  <si>
    <t>Administration &amp; General Cost</t>
  </si>
  <si>
    <t>Marketing Department</t>
  </si>
  <si>
    <t>Marketing Department Cost</t>
  </si>
  <si>
    <t>Maintenance Department</t>
  </si>
  <si>
    <t>Maintenance Department Cost</t>
  </si>
  <si>
    <t>Area</t>
  </si>
  <si>
    <t>Covers</t>
  </si>
  <si>
    <t>Daily</t>
  </si>
  <si>
    <t>Per Day</t>
  </si>
  <si>
    <t>Check</t>
  </si>
  <si>
    <t>Pax</t>
  </si>
  <si>
    <t>Avg Pax</t>
  </si>
  <si>
    <t>Times /</t>
  </si>
  <si>
    <t>Capacity</t>
  </si>
  <si>
    <t>Month</t>
  </si>
  <si>
    <t>@ 100% occ</t>
  </si>
  <si>
    <t>Future</t>
  </si>
  <si>
    <t>Room Ser</t>
  </si>
  <si>
    <t>Banquets</t>
  </si>
  <si>
    <t>Total F&amp;B</t>
  </si>
  <si>
    <t>Total - Rest. &amp; R.Service</t>
  </si>
  <si>
    <t>Structural, Mechaninical , Electrical, Hydo &amp; HVAC</t>
  </si>
  <si>
    <t>Area Wide Long Stay Demand</t>
  </si>
  <si>
    <t>Moratorium</t>
  </si>
  <si>
    <t>Capital Repayment</t>
  </si>
  <si>
    <t xml:space="preserve">Interest Rate </t>
  </si>
  <si>
    <t>Average Debt Service Cover Ratio:</t>
  </si>
  <si>
    <t>CASH FLOW, DSCR &amp; IRR WORKING</t>
  </si>
  <si>
    <t>Cuml</t>
  </si>
  <si>
    <t>Size (Sq.Ft.)</t>
  </si>
  <si>
    <t>Standard Room</t>
  </si>
  <si>
    <t>Deluxe Room</t>
  </si>
  <si>
    <t>AREA STATEMENT –GUEST AMENITIES, F&amp;B, BANQUETS &amp; Service Areas</t>
  </si>
  <si>
    <t>% of Contract/Loan</t>
  </si>
  <si>
    <t>Details to be filled regarding Building Areas and Cost of Project</t>
  </si>
  <si>
    <t>Toilets-Public Areas</t>
  </si>
  <si>
    <t>Toilet-F&amp;B Areas</t>
  </si>
  <si>
    <t>Toilets-Banquet Areas</t>
  </si>
  <si>
    <t>Details to be filled regarding Competitors</t>
  </si>
  <si>
    <t>OCC%</t>
  </si>
  <si>
    <t>Configuration %</t>
  </si>
  <si>
    <t>Discount %</t>
  </si>
  <si>
    <t>Demand%</t>
  </si>
  <si>
    <t>Extra Bed</t>
  </si>
  <si>
    <t>Room Category</t>
  </si>
  <si>
    <t>Cost Element</t>
  </si>
  <si>
    <t>Costs</t>
  </si>
  <si>
    <t>Net Retail Rentals</t>
  </si>
  <si>
    <t>Administration &amp; General-Others (CC)</t>
  </si>
  <si>
    <t>Marketing Department-Others</t>
  </si>
  <si>
    <t>Maintenance Department-Others</t>
  </si>
  <si>
    <t>IRR</t>
  </si>
  <si>
    <t>Return on Equity</t>
  </si>
  <si>
    <t>Average Check</t>
  </si>
  <si>
    <t>Room Service</t>
  </si>
  <si>
    <t>Details to be filled regarding Demand, Rates, Revenues and Costs</t>
  </si>
  <si>
    <t>Covers per day/ Times per month</t>
  </si>
  <si>
    <t>Number/Seats/ pax</t>
  </si>
  <si>
    <t>Existing</t>
  </si>
  <si>
    <t>Future Supply</t>
  </si>
  <si>
    <t>Rate Increase %</t>
  </si>
  <si>
    <t>I</t>
  </si>
  <si>
    <t>Glossary</t>
  </si>
  <si>
    <t>Foreign Frequent Individual Travellers</t>
  </si>
  <si>
    <t>Domestic Frequent Individual Travellers</t>
  </si>
  <si>
    <t>NPV</t>
  </si>
  <si>
    <t>DSCR</t>
  </si>
  <si>
    <t>FSI</t>
  </si>
  <si>
    <t>Floor Space Index</t>
  </si>
  <si>
    <t>Internal Rate of Return</t>
  </si>
  <si>
    <t>BuA</t>
  </si>
  <si>
    <t>Built-Up Area</t>
  </si>
  <si>
    <t>Net Present Value</t>
  </si>
  <si>
    <t>F &amp; B</t>
  </si>
  <si>
    <t>Average Rack rate</t>
  </si>
  <si>
    <t>Domestic Corporate Visitors' Group</t>
  </si>
  <si>
    <t>Foreign Corporate Visitors' Group</t>
  </si>
  <si>
    <t>Debt Service Coverage Ratio</t>
  </si>
  <si>
    <t>Occ</t>
  </si>
  <si>
    <t>Occupancy</t>
  </si>
  <si>
    <t>II</t>
  </si>
  <si>
    <t>Instructions</t>
  </si>
  <si>
    <t>III</t>
  </si>
  <si>
    <t>Notes</t>
  </si>
  <si>
    <t>Conversion:</t>
  </si>
  <si>
    <t>1 Acre = 4046.90 Sq.mts.</t>
  </si>
  <si>
    <t>1 Sq.mtr = 10.76 Sq.ft</t>
  </si>
  <si>
    <t>PSF</t>
  </si>
  <si>
    <t>Per Square Feet</t>
  </si>
  <si>
    <t xml:space="preserve">       Sub-Total – Buildings</t>
  </si>
  <si>
    <t xml:space="preserve">       Sub-Total - Plant &amp; Machinery</t>
  </si>
  <si>
    <t xml:space="preserve">       Sub-Total - Furniture, Fixt. &amp; Furnis.</t>
  </si>
  <si>
    <t xml:space="preserve">       Sub-Total Pre-Operative Expenses</t>
  </si>
  <si>
    <t xml:space="preserve"> Total Land Value</t>
  </si>
  <si>
    <t xml:space="preserve"> '000</t>
  </si>
  <si>
    <t>TOTAL in USD</t>
  </si>
  <si>
    <t>Sub - Total / Wtd Avg.</t>
  </si>
  <si>
    <t>* If date of launch is between April to Sepember, give 100%, else 50%</t>
  </si>
  <si>
    <t>If there are any changes in line items or particulars, the changes have to be made in the entry sheet as well as report sheets after unprotecting them.</t>
  </si>
  <si>
    <t>Borrowing</t>
  </si>
  <si>
    <t>Borrowings b/fwd</t>
  </si>
  <si>
    <t>Outstanding Loan</t>
  </si>
  <si>
    <t>Room Service usage</t>
  </si>
  <si>
    <t>Restaurants - outsider proportion</t>
  </si>
  <si>
    <t>Average Wage p.m. (per person)</t>
  </si>
  <si>
    <t>Interest calculation for pre-construction period</t>
  </si>
  <si>
    <t>Actual</t>
  </si>
  <si>
    <t>After Escalation</t>
  </si>
  <si>
    <t>Total Pre-Operative Exp. Without Interest &amp; processing fee</t>
  </si>
  <si>
    <t>Total Expenses without interest &amp; processing fee</t>
  </si>
  <si>
    <t>Interest &amp; processing fee During Construction Period on cumulative debt calculated as per formula given below*</t>
  </si>
  <si>
    <t>Cumulative Debt</t>
  </si>
  <si>
    <t>Interest on Cumulative debt</t>
  </si>
  <si>
    <t>* Algebraic Formula for calculating pre-construction period interest</t>
  </si>
  <si>
    <t>Interest for the period</t>
  </si>
  <si>
    <t>=</t>
  </si>
  <si>
    <t>y</t>
  </si>
  <si>
    <t>12%of x</t>
  </si>
  <si>
    <t>x</t>
  </si>
  <si>
    <t>or</t>
  </si>
  <si>
    <t>2x</t>
  </si>
  <si>
    <t>x+2100</t>
  </si>
  <si>
    <t>Total Expenses + Interest</t>
  </si>
  <si>
    <t>Project cost</t>
  </si>
  <si>
    <t>Total Expenses + 12%of x</t>
  </si>
  <si>
    <t>1.88x</t>
  </si>
  <si>
    <t>Total Expenses/1.88</t>
  </si>
  <si>
    <t>Ineterst</t>
  </si>
  <si>
    <t>12% of (Total Expenses/1.88)</t>
  </si>
  <si>
    <t>Loan processing/Syndication</t>
  </si>
  <si>
    <t>1.05%of x</t>
  </si>
  <si>
    <t>Total Expenses + Loan processing/Syndication</t>
  </si>
  <si>
    <t>Total Expenses + 1.05%of x</t>
  </si>
  <si>
    <t>1.9895x</t>
  </si>
  <si>
    <t>Total Expenses/1.9895</t>
  </si>
  <si>
    <t>1.05% of (Total Expenses/1.9895)</t>
  </si>
  <si>
    <t>Depreciation Schedule as per Schedule XIV of Companies Act</t>
  </si>
  <si>
    <t>S.No.</t>
  </si>
  <si>
    <t>Deprn %</t>
  </si>
  <si>
    <t>O/B</t>
  </si>
  <si>
    <t>Deprn.</t>
  </si>
  <si>
    <t>w.d.v.</t>
  </si>
  <si>
    <t>Building</t>
  </si>
  <si>
    <t>Plant &amp; Mach</t>
  </si>
  <si>
    <t>Furniture &amp; Fix</t>
  </si>
  <si>
    <t>Vertical transportation</t>
  </si>
  <si>
    <t>Pre-operative expenses</t>
  </si>
  <si>
    <t>M.Vehicles</t>
  </si>
  <si>
    <t>Less: Depreciation</t>
  </si>
  <si>
    <t>Profit after Interest &amp; Depreciation</t>
  </si>
  <si>
    <t>Food &amp; Beverages</t>
  </si>
  <si>
    <t>Data have to be entered in cells marked in white.</t>
  </si>
  <si>
    <t>In order to avoid inadvertant manual errors, the report sheets have been protected as these contain multiple formulae and links. Changes made in any cell of the report sheets have implication on multiple cells in the report.</t>
  </si>
  <si>
    <t xml:space="preserve">Similarly, any addition or deletion of rows/columns in the entry sheets will affect the formulae and links in the report sheets. Therefore, it is advised that before making any addition or deletion to rows or columns in the entry sheets, the corresponding report sheets are unprotected and changes made to those report sheets, respectively. </t>
  </si>
  <si>
    <t>Number of Keys</t>
  </si>
  <si>
    <t>% Public Space of Bldg</t>
  </si>
  <si>
    <t>% Services &amp; Admin. Space of Bldg</t>
  </si>
  <si>
    <t>% Guest Rooms of Bldg</t>
  </si>
  <si>
    <t>CITY COMPETITIVE MARKET MIX (RPD)</t>
  </si>
  <si>
    <t>Competitive Level</t>
  </si>
  <si>
    <t>RPD</t>
  </si>
  <si>
    <t>Market Mix</t>
  </si>
  <si>
    <t>Conf</t>
  </si>
  <si>
    <t>Groups</t>
  </si>
  <si>
    <t>PROJECTED DEMAND GROWTH (RPD)</t>
  </si>
  <si>
    <t>Growth</t>
  </si>
  <si>
    <t>CITYWIDE OCCUPANCY FORECAST</t>
  </si>
  <si>
    <t>Year Ending</t>
  </si>
  <si>
    <t>March</t>
  </si>
  <si>
    <t>Citywide</t>
  </si>
  <si>
    <t>Occ.</t>
  </si>
  <si>
    <t>Opening Year</t>
  </si>
  <si>
    <t>RPD Demand &amp; Supply Analysis</t>
  </si>
  <si>
    <t>Year Ending March</t>
  </si>
  <si>
    <t>Demand RPD</t>
  </si>
  <si>
    <t>Annual Change</t>
  </si>
  <si>
    <t>Total Supply</t>
  </si>
  <si>
    <t>Total/Wtd.Avg.</t>
  </si>
  <si>
    <t xml:space="preserve">Long </t>
  </si>
  <si>
    <t>Stay</t>
  </si>
  <si>
    <t>Rooms/Day</t>
  </si>
  <si>
    <t>Area Wide Groups Demand</t>
  </si>
  <si>
    <t>Market Mix %</t>
  </si>
  <si>
    <t>Income Tax Rate</t>
  </si>
  <si>
    <t>Print settings have been incorporated in report sheets. But, depending on the report, changes may have to be made to Custom Header of each sheet.</t>
  </si>
  <si>
    <t>Probability % of Fair share</t>
  </si>
  <si>
    <t>Avergae OCC% used in forecast</t>
  </si>
  <si>
    <t>Our Hotel</t>
  </si>
  <si>
    <t>Mar</t>
  </si>
  <si>
    <t>Jun</t>
  </si>
  <si>
    <t>Sept</t>
  </si>
  <si>
    <t>Dec</t>
  </si>
  <si>
    <t>Year (to March of….)</t>
  </si>
  <si>
    <t>Variance</t>
  </si>
  <si>
    <t>Project Starting financial Year (from April of….)</t>
  </si>
  <si>
    <t>Project completion year</t>
  </si>
  <si>
    <t>Room Supply as on March</t>
  </si>
  <si>
    <t>Additions during the year</t>
  </si>
  <si>
    <t xml:space="preserve">For the Y/ E March </t>
  </si>
  <si>
    <t>For the Y/ E March onwards</t>
  </si>
  <si>
    <t>Financial Year</t>
  </si>
  <si>
    <t>Project IRR (Pre Debt Service)</t>
  </si>
  <si>
    <t>Project IRR (Post Tax + Debt)</t>
  </si>
  <si>
    <t xml:space="preserve">Equity IRR (Post Tax + Debt) </t>
  </si>
  <si>
    <t>Equity IRR assuming sale at end of tenth year</t>
  </si>
  <si>
    <t>Debt Repayment (Financial Year)</t>
  </si>
  <si>
    <t>Financial Years</t>
  </si>
  <si>
    <t>Sheets 2, 3, 4</t>
  </si>
  <si>
    <t>Sheets 6 &amp; 7</t>
  </si>
  <si>
    <t>Sheets 8, 9, 10 &amp; 12</t>
  </si>
  <si>
    <t>Sheet 11</t>
  </si>
  <si>
    <t>Sheet 13</t>
  </si>
  <si>
    <t>Sheets 14, 15 &amp; 16</t>
  </si>
  <si>
    <t>Sheets 10 &amp; 16</t>
  </si>
  <si>
    <t>Sheets 17, 22</t>
  </si>
  <si>
    <t>Sheet 20</t>
  </si>
  <si>
    <t>Sep</t>
  </si>
  <si>
    <t>Jun2</t>
  </si>
  <si>
    <t>Dec4</t>
  </si>
  <si>
    <t>Mar5</t>
  </si>
  <si>
    <t>Sep2</t>
  </si>
  <si>
    <t>Year of inception</t>
  </si>
  <si>
    <t>Sheets 2 to 22 (except 21) are reports which are automatically updated on change of data in the entry sheets as mentioned above. Do not make any direct entry of data in these sheets.</t>
  </si>
  <si>
    <r>
      <t xml:space="preserve">Sheets named </t>
    </r>
    <r>
      <rPr>
        <b/>
        <sz val="12"/>
        <color theme="1"/>
        <rFont val="Arial"/>
        <family val="2"/>
      </rPr>
      <t xml:space="preserve">Area&amp;Cost, Comptn., Financials, 1 and 21 </t>
    </r>
    <r>
      <rPr>
        <sz val="12"/>
        <color theme="1"/>
        <rFont val="Arial"/>
        <family val="2"/>
      </rPr>
      <t>are for entering data.</t>
    </r>
  </si>
  <si>
    <r>
      <t xml:space="preserve">Kindly, make adjustments in </t>
    </r>
    <r>
      <rPr>
        <b/>
        <sz val="12"/>
        <color theme="1"/>
        <rFont val="Arial"/>
        <family val="2"/>
      </rPr>
      <t>"Interest"</t>
    </r>
    <r>
      <rPr>
        <sz val="12"/>
        <color theme="1"/>
        <rFont val="Arial"/>
        <family val="2"/>
      </rPr>
      <t xml:space="preserve"> sheet for equity/debt installments as disbursement of debt varies with initial equity component. Rows 11 &amp; 12 are open for adjustments.</t>
    </r>
  </si>
  <si>
    <r>
      <t xml:space="preserve">Kindly, enter rates of depreciation in the sheet </t>
    </r>
    <r>
      <rPr>
        <b/>
        <sz val="12"/>
        <color theme="1"/>
        <rFont val="Arial"/>
        <family val="2"/>
      </rPr>
      <t>"Depreciation"</t>
    </r>
    <r>
      <rPr>
        <sz val="12"/>
        <color theme="1"/>
        <rFont val="Arial"/>
        <family val="2"/>
      </rPr>
      <t>.</t>
    </r>
  </si>
  <si>
    <t>Password for unprotecting sheets shall be sent seperately via e-mail on request. Send request mail to query@lekish.com.</t>
  </si>
  <si>
    <t>Qtr1</t>
  </si>
  <si>
    <t>Qtr2</t>
  </si>
  <si>
    <t>Qtr3</t>
  </si>
  <si>
    <t>Qtr4</t>
  </si>
  <si>
    <t>Second Year</t>
  </si>
  <si>
    <t>Third Year</t>
  </si>
  <si>
    <t>Fourth Year</t>
  </si>
  <si>
    <t>Fifth Year</t>
  </si>
  <si>
    <t>Sixth Year</t>
  </si>
  <si>
    <t>Seventh Year</t>
  </si>
  <si>
    <t>Eighth Year</t>
  </si>
  <si>
    <t>* You can give split quarter-wise, if required.</t>
  </si>
  <si>
    <t>Subsequent year*</t>
  </si>
  <si>
    <t>Figures relating to currency are in amount Hundred Thousand* (unless specified otherwise).</t>
  </si>
  <si>
    <t>Final</t>
  </si>
  <si>
    <t>Rack Rates (amount)</t>
  </si>
  <si>
    <t>Market Value of Land          Amount PSF</t>
  </si>
  <si>
    <t>Equated Annual Instalment (amount hundred thousand)</t>
  </si>
  <si>
    <t>Interest rate (percentage)</t>
  </si>
  <si>
    <t>Interest rate alternate (percentage)</t>
  </si>
  <si>
    <t>Property Tax (amount/sq.ftp.m.)</t>
  </si>
  <si>
    <t>Currency assumption</t>
  </si>
  <si>
    <t>TOTAL amount</t>
  </si>
  <si>
    <t>000'000</t>
  </si>
  <si>
    <t xml:space="preserve">       Amount. Per Sq.ft Excluding Land</t>
  </si>
  <si>
    <t>FIT Rack Rates (amount)</t>
  </si>
  <si>
    <t>Amount</t>
  </si>
  <si>
    <t>Rooms Per Day</t>
  </si>
  <si>
    <t>Glossary/ Instructions/ Notes</t>
  </si>
  <si>
    <t>Group</t>
  </si>
  <si>
    <t>Category</t>
  </si>
  <si>
    <t>FY 1</t>
  </si>
  <si>
    <t>FY 2</t>
  </si>
  <si>
    <t>FY 3</t>
  </si>
  <si>
    <t xml:space="preserve">Rate </t>
  </si>
  <si>
    <t>Amount '000'000</t>
  </si>
  <si>
    <t>Total Daily F&amp;B Revenue (amount)</t>
  </si>
  <si>
    <t>Amount '00'000</t>
  </si>
  <si>
    <t>Amount'00'000</t>
  </si>
  <si>
    <t>Annual Room Revenue (amount'00'000)</t>
  </si>
  <si>
    <t>Annual F&amp;B Revenue (amount'00'000)</t>
  </si>
  <si>
    <t>(Amount '00'000)</t>
  </si>
  <si>
    <t>Average Room Rates (Amount)</t>
  </si>
  <si>
    <t>00'000</t>
  </si>
  <si>
    <t xml:space="preserve">Technical Fees to Operator </t>
  </si>
</sst>
</file>

<file path=xl/styles.xml><?xml version="1.0" encoding="utf-8"?>
<styleSheet xmlns="http://schemas.openxmlformats.org/spreadsheetml/2006/main">
  <numFmts count="9">
    <numFmt numFmtId="6" formatCode="&quot;$&quot;#,##0_);[Red]\(&quot;$&quot;#,##0\)"/>
    <numFmt numFmtId="43" formatCode="_(* #,##0.00_);_(* \(#,##0.00\);_(* &quot;-&quot;??_);_(@_)"/>
    <numFmt numFmtId="164" formatCode="_(* #,##0_);_(* \(#,##0\);_(* &quot;-&quot;??_);_(@_)"/>
    <numFmt numFmtId="165" formatCode="0.0%"/>
    <numFmt numFmtId="166" formatCode="_(* #,##0.000_);_(* \(#,##0.000\);_(* &quot;-&quot;??_);_(@_)"/>
    <numFmt numFmtId="167" formatCode="_(* #,##0.0000_);_(* \(#,##0.0000\);_(* &quot;-&quot;??_);_(@_)"/>
    <numFmt numFmtId="168" formatCode="[$Rs-420]#,##0.00_-"/>
    <numFmt numFmtId="169" formatCode="[$-409]mmm\-yy;@"/>
    <numFmt numFmtId="172" formatCode="0;[Red]0"/>
  </numFmts>
  <fonts count="33">
    <font>
      <sz val="10"/>
      <color theme="1"/>
      <name val="Arial"/>
      <family val="2"/>
    </font>
    <font>
      <sz val="10"/>
      <color theme="1"/>
      <name val="Arial"/>
      <family val="2"/>
    </font>
    <font>
      <b/>
      <sz val="12"/>
      <color theme="1"/>
      <name val="Arial"/>
      <family val="2"/>
    </font>
    <font>
      <sz val="12"/>
      <color theme="1"/>
      <name val="Arial"/>
      <family val="2"/>
    </font>
    <font>
      <i/>
      <sz val="12"/>
      <color theme="1"/>
      <name val="Arial"/>
      <family val="2"/>
    </font>
    <font>
      <b/>
      <sz val="12"/>
      <name val="Arial"/>
      <family val="2"/>
    </font>
    <font>
      <sz val="12"/>
      <name val="Arial"/>
      <family val="2"/>
    </font>
    <font>
      <sz val="8"/>
      <color indexed="81"/>
      <name val="Tahoma"/>
      <family val="2"/>
    </font>
    <font>
      <b/>
      <sz val="8"/>
      <color indexed="81"/>
      <name val="Tahoma"/>
      <family val="2"/>
    </font>
    <font>
      <sz val="10"/>
      <name val="Arial"/>
      <family val="2"/>
    </font>
    <font>
      <b/>
      <i/>
      <sz val="12"/>
      <name val="Arial"/>
      <family val="2"/>
    </font>
    <font>
      <b/>
      <sz val="12"/>
      <color rgb="FF7030A0"/>
      <name val="Arial"/>
      <family val="2"/>
    </font>
    <font>
      <b/>
      <sz val="14"/>
      <color theme="1"/>
      <name val="Arial"/>
      <family val="2"/>
    </font>
    <font>
      <i/>
      <sz val="10"/>
      <name val="Arial"/>
      <family val="2"/>
    </font>
    <font>
      <i/>
      <u/>
      <sz val="12"/>
      <name val="Arial"/>
      <family val="2"/>
    </font>
    <font>
      <i/>
      <sz val="12"/>
      <name val="Arial"/>
      <family val="2"/>
    </font>
    <font>
      <i/>
      <sz val="10.5"/>
      <name val="Arial"/>
      <family val="2"/>
    </font>
    <font>
      <sz val="12"/>
      <color theme="3" tint="-0.249977111117893"/>
      <name val="Arial"/>
      <family val="2"/>
    </font>
    <font>
      <b/>
      <sz val="12"/>
      <color theme="3" tint="-0.249977111117893"/>
      <name val="Arial"/>
      <family val="2"/>
    </font>
    <font>
      <b/>
      <i/>
      <sz val="12"/>
      <color theme="3" tint="-0.249977111117893"/>
      <name val="Arial"/>
      <family val="2"/>
    </font>
    <font>
      <i/>
      <sz val="12"/>
      <color theme="3" tint="-0.249977111117893"/>
      <name val="Arial"/>
      <family val="2"/>
    </font>
    <font>
      <b/>
      <u/>
      <sz val="12"/>
      <color theme="1"/>
      <name val="Arial"/>
      <family val="2"/>
    </font>
    <font>
      <sz val="12"/>
      <name val="Arial"/>
      <family val="2"/>
    </font>
    <font>
      <b/>
      <sz val="10"/>
      <color theme="1"/>
      <name val="Arial"/>
      <family val="2"/>
    </font>
    <font>
      <b/>
      <sz val="10"/>
      <color rgb="FFFF0000"/>
      <name val="Arial"/>
      <family val="2"/>
    </font>
    <font>
      <sz val="10"/>
      <color rgb="FFC00000"/>
      <name val="Arial"/>
      <family val="2"/>
    </font>
    <font>
      <sz val="12"/>
      <color rgb="FFC00000"/>
      <name val="Arial"/>
      <family val="2"/>
    </font>
    <font>
      <b/>
      <sz val="12"/>
      <name val="Arial"/>
      <family val="2"/>
    </font>
    <font>
      <sz val="12"/>
      <color rgb="FFFF0000"/>
      <name val="Arial"/>
      <family val="2"/>
    </font>
    <font>
      <sz val="12"/>
      <name val="Arial"/>
    </font>
    <font>
      <sz val="8"/>
      <color indexed="81"/>
      <name val="Tahoma"/>
      <charset val="1"/>
    </font>
    <font>
      <b/>
      <sz val="8"/>
      <color indexed="81"/>
      <name val="Tahoma"/>
      <charset val="1"/>
    </font>
    <font>
      <b/>
      <sz val="12"/>
      <color rgb="FFFF0000"/>
      <name val="Arial"/>
      <family val="2"/>
    </font>
  </fonts>
  <fills count="19">
    <fill>
      <patternFill patternType="none"/>
    </fill>
    <fill>
      <patternFill patternType="gray125"/>
    </fill>
    <fill>
      <patternFill patternType="solid">
        <fgColor theme="3"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92">
    <xf numFmtId="0" fontId="0" fillId="0" borderId="0" xfId="0"/>
    <xf numFmtId="0" fontId="3" fillId="0" borderId="0" xfId="0" applyFont="1"/>
    <xf numFmtId="0" fontId="2" fillId="0" borderId="0" xfId="0" applyFont="1"/>
    <xf numFmtId="0" fontId="3" fillId="0" borderId="0" xfId="0" applyFont="1" applyAlignment="1">
      <alignment wrapText="1"/>
    </xf>
    <xf numFmtId="164" fontId="2" fillId="0" borderId="3" xfId="1" applyNumberFormat="1" applyFont="1" applyBorder="1" applyAlignment="1" applyProtection="1">
      <alignment horizontal="center"/>
      <protection locked="0"/>
    </xf>
    <xf numFmtId="164" fontId="2" fillId="0" borderId="4" xfId="1" applyNumberFormat="1" applyFont="1" applyBorder="1" applyAlignment="1" applyProtection="1">
      <alignment horizontal="center"/>
      <protection locked="0"/>
    </xf>
    <xf numFmtId="0" fontId="3" fillId="0" borderId="0" xfId="0" applyFont="1" applyAlignment="1">
      <alignment vertical="top"/>
    </xf>
    <xf numFmtId="0" fontId="3" fillId="0" borderId="65" xfId="0" applyFont="1" applyBorder="1" applyAlignment="1">
      <alignment wrapText="1"/>
    </xf>
    <xf numFmtId="0" fontId="3" fillId="0" borderId="16" xfId="0" applyFont="1" applyBorder="1" applyAlignment="1">
      <alignment wrapText="1"/>
    </xf>
    <xf numFmtId="0" fontId="2" fillId="0" borderId="65" xfId="0" applyFont="1" applyBorder="1" applyAlignment="1">
      <alignment wrapText="1"/>
    </xf>
    <xf numFmtId="0" fontId="2" fillId="0" borderId="24" xfId="0" applyFont="1" applyBorder="1" applyAlignment="1">
      <alignment horizontal="left" vertical="top"/>
    </xf>
    <xf numFmtId="0" fontId="3" fillId="0" borderId="36" xfId="0" applyFont="1" applyBorder="1" applyAlignment="1">
      <alignment vertical="top"/>
    </xf>
    <xf numFmtId="0" fontId="3" fillId="0" borderId="11" xfId="0" applyFont="1" applyBorder="1" applyAlignment="1">
      <alignment vertical="top"/>
    </xf>
    <xf numFmtId="0" fontId="2" fillId="0" borderId="24" xfId="0" applyFont="1" applyBorder="1" applyAlignment="1">
      <alignment vertical="top"/>
    </xf>
    <xf numFmtId="0" fontId="2" fillId="0" borderId="36" xfId="0" applyFont="1" applyBorder="1" applyAlignment="1">
      <alignment vertical="top"/>
    </xf>
    <xf numFmtId="0" fontId="21" fillId="0" borderId="23" xfId="0" applyFont="1" applyBorder="1" applyAlignment="1">
      <alignment wrapText="1"/>
    </xf>
    <xf numFmtId="165" fontId="3" fillId="7" borderId="0" xfId="2" applyNumberFormat="1" applyFont="1" applyFill="1" applyProtection="1"/>
    <xf numFmtId="164" fontId="3" fillId="7" borderId="0" xfId="1" applyNumberFormat="1" applyFont="1" applyFill="1" applyProtection="1"/>
    <xf numFmtId="0" fontId="3" fillId="0" borderId="0" xfId="0" applyFont="1" applyProtection="1"/>
    <xf numFmtId="165" fontId="3" fillId="0" borderId="0" xfId="2" applyNumberFormat="1" applyFont="1" applyProtection="1"/>
    <xf numFmtId="164" fontId="3" fillId="0" borderId="0" xfId="1" applyNumberFormat="1" applyFont="1" applyProtection="1"/>
    <xf numFmtId="0" fontId="2" fillId="0" borderId="2" xfId="0" applyFont="1" applyBorder="1" applyAlignment="1" applyProtection="1">
      <alignment horizontal="center"/>
    </xf>
    <xf numFmtId="165" fontId="2" fillId="0" borderId="3" xfId="2" applyNumberFormat="1" applyFont="1" applyBorder="1" applyAlignment="1" applyProtection="1">
      <alignment horizontal="center"/>
    </xf>
    <xf numFmtId="165" fontId="2" fillId="7" borderId="3" xfId="2" applyNumberFormat="1" applyFont="1" applyFill="1" applyBorder="1" applyAlignment="1" applyProtection="1">
      <alignment horizontal="center"/>
    </xf>
    <xf numFmtId="164" fontId="2" fillId="7" borderId="3" xfId="1" applyNumberFormat="1" applyFont="1" applyFill="1" applyBorder="1" applyAlignment="1" applyProtection="1">
      <alignment horizontal="center"/>
    </xf>
    <xf numFmtId="164" fontId="2" fillId="7" borderId="4" xfId="1" applyNumberFormat="1" applyFont="1" applyFill="1" applyBorder="1" applyAlignment="1" applyProtection="1">
      <alignment horizontal="center"/>
    </xf>
    <xf numFmtId="0" fontId="2" fillId="0" borderId="7" xfId="0" applyFont="1" applyBorder="1" applyAlignment="1" applyProtection="1">
      <alignment horizontal="center"/>
    </xf>
    <xf numFmtId="165" fontId="2" fillId="0" borderId="8" xfId="2" applyNumberFormat="1" applyFont="1" applyBorder="1" applyAlignment="1" applyProtection="1">
      <alignment horizontal="center"/>
    </xf>
    <xf numFmtId="165" fontId="2" fillId="7" borderId="24" xfId="2" applyNumberFormat="1" applyFont="1" applyFill="1" applyBorder="1" applyAlignment="1" applyProtection="1">
      <alignment horizontal="center"/>
    </xf>
    <xf numFmtId="164" fontId="2" fillId="7" borderId="24" xfId="1" applyNumberFormat="1" applyFont="1" applyFill="1" applyBorder="1" applyAlignment="1" applyProtection="1">
      <alignment horizontal="center"/>
    </xf>
    <xf numFmtId="164" fontId="2" fillId="7" borderId="32" xfId="1" applyNumberFormat="1" applyFont="1" applyFill="1" applyBorder="1" applyAlignment="1" applyProtection="1">
      <alignment horizontal="center"/>
    </xf>
    <xf numFmtId="0" fontId="2" fillId="0" borderId="0" xfId="0" applyFont="1" applyProtection="1"/>
    <xf numFmtId="165" fontId="2" fillId="0" borderId="0" xfId="2" applyNumberFormat="1" applyFont="1" applyProtection="1"/>
    <xf numFmtId="164" fontId="2" fillId="0" borderId="0" xfId="1" applyNumberFormat="1" applyFont="1" applyProtection="1"/>
    <xf numFmtId="165" fontId="2" fillId="7" borderId="1" xfId="2" applyNumberFormat="1" applyFont="1" applyFill="1" applyBorder="1" applyProtection="1"/>
    <xf numFmtId="164" fontId="2" fillId="7" borderId="1" xfId="1" applyNumberFormat="1" applyFont="1" applyFill="1" applyBorder="1" applyProtection="1"/>
    <xf numFmtId="165" fontId="11" fillId="7" borderId="1" xfId="2" applyNumberFormat="1" applyFont="1" applyFill="1" applyBorder="1" applyProtection="1"/>
    <xf numFmtId="165" fontId="3" fillId="7" borderId="1" xfId="2" applyNumberFormat="1" applyFont="1" applyFill="1" applyBorder="1" applyProtection="1"/>
    <xf numFmtId="164" fontId="3" fillId="7" borderId="1" xfId="1" applyNumberFormat="1" applyFont="1" applyFill="1" applyBorder="1" applyProtection="1"/>
    <xf numFmtId="164" fontId="6" fillId="0" borderId="0" xfId="1" applyNumberFormat="1" applyFont="1" applyProtection="1"/>
    <xf numFmtId="0" fontId="2" fillId="0" borderId="0" xfId="0" applyFont="1" applyBorder="1" applyProtection="1"/>
    <xf numFmtId="165" fontId="2" fillId="0" borderId="0" xfId="2" applyNumberFormat="1" applyFont="1" applyBorder="1" applyProtection="1"/>
    <xf numFmtId="164" fontId="2" fillId="0" borderId="0" xfId="1" applyNumberFormat="1" applyFont="1" applyBorder="1" applyProtection="1"/>
    <xf numFmtId="165" fontId="6" fillId="0" borderId="0" xfId="2" applyNumberFormat="1" applyFont="1" applyProtection="1"/>
    <xf numFmtId="9" fontId="3" fillId="0" borderId="0" xfId="2" applyFont="1" applyProtection="1"/>
    <xf numFmtId="164" fontId="5" fillId="0" borderId="0" xfId="1" applyNumberFormat="1" applyFont="1" applyProtection="1"/>
    <xf numFmtId="165" fontId="5" fillId="0" borderId="0" xfId="2" applyNumberFormat="1" applyFont="1" applyProtection="1"/>
    <xf numFmtId="164" fontId="17" fillId="0" borderId="0" xfId="1" applyNumberFormat="1" applyFont="1" applyProtection="1"/>
    <xf numFmtId="165" fontId="17" fillId="0" borderId="0" xfId="2" applyNumberFormat="1" applyFont="1" applyProtection="1"/>
    <xf numFmtId="164" fontId="18" fillId="0" borderId="0" xfId="1" applyNumberFormat="1" applyFont="1" applyProtection="1"/>
    <xf numFmtId="165" fontId="18" fillId="0" borderId="0" xfId="2" applyNumberFormat="1" applyFont="1" applyProtection="1"/>
    <xf numFmtId="0" fontId="17" fillId="7" borderId="0" xfId="0" applyFont="1" applyFill="1" applyProtection="1"/>
    <xf numFmtId="0" fontId="17" fillId="0" borderId="0" xfId="0" applyFont="1" applyProtection="1"/>
    <xf numFmtId="0" fontId="18" fillId="7" borderId="4" xfId="0" applyFont="1" applyFill="1" applyBorder="1" applyProtection="1"/>
    <xf numFmtId="0" fontId="18" fillId="7" borderId="6" xfId="0" applyFont="1" applyFill="1" applyBorder="1" applyProtection="1"/>
    <xf numFmtId="10" fontId="18" fillId="7" borderId="8" xfId="0" applyNumberFormat="1" applyFont="1" applyFill="1" applyBorder="1" applyProtection="1"/>
    <xf numFmtId="3" fontId="17" fillId="0" borderId="0" xfId="0" applyNumberFormat="1" applyFont="1" applyProtection="1"/>
    <xf numFmtId="164" fontId="17" fillId="7" borderId="0" xfId="1" applyNumberFormat="1" applyFont="1" applyFill="1" applyProtection="1"/>
    <xf numFmtId="0" fontId="18" fillId="0" borderId="0" xfId="0" applyFont="1" applyProtection="1"/>
    <xf numFmtId="164" fontId="18" fillId="7" borderId="0" xfId="1" applyNumberFormat="1" applyFont="1" applyFill="1" applyProtection="1"/>
    <xf numFmtId="3" fontId="18" fillId="0" borderId="0" xfId="0" applyNumberFormat="1" applyFont="1" applyProtection="1"/>
    <xf numFmtId="3" fontId="18" fillId="7" borderId="0" xfId="0" applyNumberFormat="1" applyFont="1" applyFill="1" applyProtection="1"/>
    <xf numFmtId="43" fontId="17" fillId="5" borderId="0" xfId="1" applyNumberFormat="1" applyFont="1" applyFill="1" applyProtection="1"/>
    <xf numFmtId="0" fontId="17" fillId="5" borderId="0" xfId="0" applyFont="1" applyFill="1" applyProtection="1"/>
    <xf numFmtId="0" fontId="17" fillId="0" borderId="0" xfId="0" applyFont="1" applyAlignment="1" applyProtection="1">
      <alignment wrapText="1"/>
    </xf>
    <xf numFmtId="0" fontId="17" fillId="5" borderId="24" xfId="0" applyFont="1" applyFill="1" applyBorder="1" applyProtection="1"/>
    <xf numFmtId="0" fontId="18" fillId="0" borderId="33" xfId="0" applyFont="1" applyBorder="1" applyAlignment="1" applyProtection="1">
      <alignment vertical="center" wrapText="1"/>
    </xf>
    <xf numFmtId="0" fontId="18" fillId="0" borderId="3" xfId="0" applyFont="1" applyBorder="1" applyAlignment="1" applyProtection="1">
      <alignment horizontal="center"/>
    </xf>
    <xf numFmtId="43" fontId="18" fillId="5" borderId="2" xfId="1" applyNumberFormat="1" applyFont="1" applyFill="1" applyBorder="1" applyProtection="1"/>
    <xf numFmtId="43" fontId="18" fillId="5" borderId="3" xfId="1" applyNumberFormat="1" applyFont="1" applyFill="1" applyBorder="1" applyProtection="1"/>
    <xf numFmtId="0" fontId="18" fillId="5" borderId="4" xfId="0" applyFont="1" applyFill="1" applyBorder="1" applyProtection="1"/>
    <xf numFmtId="0" fontId="18" fillId="5" borderId="2" xfId="0" applyFont="1" applyFill="1" applyBorder="1" applyProtection="1"/>
    <xf numFmtId="0" fontId="18" fillId="5" borderId="3" xfId="0" applyFont="1" applyFill="1" applyBorder="1" applyProtection="1"/>
    <xf numFmtId="0" fontId="18" fillId="0" borderId="10" xfId="0" applyFont="1" applyBorder="1" applyAlignment="1" applyProtection="1">
      <alignment vertical="top" wrapText="1"/>
    </xf>
    <xf numFmtId="0" fontId="18" fillId="0" borderId="1" xfId="0" applyFont="1" applyBorder="1" applyAlignment="1" applyProtection="1">
      <alignment horizontal="center"/>
    </xf>
    <xf numFmtId="10" fontId="18" fillId="0" borderId="1" xfId="0" applyNumberFormat="1" applyFont="1" applyBorder="1" applyAlignment="1" applyProtection="1">
      <alignment horizontal="center"/>
    </xf>
    <xf numFmtId="10" fontId="18" fillId="0" borderId="6" xfId="0" applyNumberFormat="1" applyFont="1" applyBorder="1" applyAlignment="1" applyProtection="1">
      <alignment horizontal="center"/>
    </xf>
    <xf numFmtId="43" fontId="18" fillId="5" borderId="5" xfId="1" applyNumberFormat="1" applyFont="1" applyFill="1" applyBorder="1" applyProtection="1"/>
    <xf numFmtId="43" fontId="18" fillId="5" borderId="1" xfId="1" applyNumberFormat="1" applyFont="1" applyFill="1" applyBorder="1" applyProtection="1"/>
    <xf numFmtId="0" fontId="18" fillId="5" borderId="6" xfId="0" applyFont="1" applyFill="1" applyBorder="1" applyProtection="1"/>
    <xf numFmtId="10" fontId="18" fillId="5" borderId="5" xfId="2" applyNumberFormat="1" applyFont="1" applyFill="1" applyBorder="1" applyProtection="1"/>
    <xf numFmtId="10" fontId="18" fillId="5" borderId="1" xfId="2" applyNumberFormat="1" applyFont="1" applyFill="1" applyBorder="1" applyProtection="1"/>
    <xf numFmtId="10" fontId="18" fillId="5" borderId="1" xfId="0" applyNumberFormat="1" applyFont="1" applyFill="1" applyBorder="1" applyProtection="1"/>
    <xf numFmtId="10" fontId="18" fillId="5" borderId="6" xfId="0" applyNumberFormat="1" applyFont="1" applyFill="1" applyBorder="1" applyProtection="1"/>
    <xf numFmtId="0" fontId="18" fillId="0" borderId="7" xfId="0" applyFont="1" applyBorder="1" applyAlignment="1" applyProtection="1">
      <alignment horizontal="center" wrapText="1"/>
    </xf>
    <xf numFmtId="0" fontId="18" fillId="0" borderId="8" xfId="0" applyFont="1" applyBorder="1" applyAlignment="1" applyProtection="1">
      <alignment horizontal="center"/>
    </xf>
    <xf numFmtId="10" fontId="18" fillId="0" borderId="8" xfId="2" applyNumberFormat="1" applyFont="1" applyBorder="1" applyAlignment="1" applyProtection="1">
      <alignment horizontal="center"/>
    </xf>
    <xf numFmtId="10" fontId="18" fillId="0" borderId="9" xfId="2" applyNumberFormat="1" applyFont="1" applyBorder="1" applyAlignment="1" applyProtection="1">
      <alignment horizontal="center"/>
    </xf>
    <xf numFmtId="10" fontId="17" fillId="5" borderId="5" xfId="2" applyNumberFormat="1" applyFont="1" applyFill="1" applyBorder="1" applyProtection="1"/>
    <xf numFmtId="10" fontId="17" fillId="5" borderId="1" xfId="2" applyNumberFormat="1" applyFont="1" applyFill="1" applyBorder="1" applyProtection="1"/>
    <xf numFmtId="0" fontId="17" fillId="5" borderId="6" xfId="0" applyFont="1" applyFill="1" applyBorder="1" applyProtection="1"/>
    <xf numFmtId="10" fontId="18" fillId="5" borderId="7" xfId="2" applyNumberFormat="1" applyFont="1" applyFill="1" applyBorder="1" applyProtection="1"/>
    <xf numFmtId="10" fontId="18" fillId="5" borderId="8" xfId="2" applyNumberFormat="1" applyFont="1" applyFill="1" applyBorder="1" applyProtection="1"/>
    <xf numFmtId="10" fontId="18" fillId="5" borderId="9" xfId="2" applyNumberFormat="1" applyFont="1" applyFill="1" applyBorder="1" applyProtection="1"/>
    <xf numFmtId="0" fontId="18" fillId="0" borderId="0" xfId="0" applyFont="1" applyAlignment="1" applyProtection="1">
      <alignment wrapText="1"/>
    </xf>
    <xf numFmtId="0" fontId="17" fillId="5" borderId="2" xfId="0" applyFont="1" applyFill="1" applyBorder="1" applyProtection="1"/>
    <xf numFmtId="0" fontId="17" fillId="5" borderId="3" xfId="0" applyFont="1" applyFill="1" applyBorder="1" applyProtection="1"/>
    <xf numFmtId="0" fontId="17" fillId="5" borderId="4" xfId="0" applyFont="1" applyFill="1" applyBorder="1" applyProtection="1"/>
    <xf numFmtId="164" fontId="17" fillId="5" borderId="5" xfId="1" applyNumberFormat="1" applyFont="1" applyFill="1" applyBorder="1" applyProtection="1"/>
    <xf numFmtId="164" fontId="17" fillId="5" borderId="1" xfId="1" applyNumberFormat="1" applyFont="1" applyFill="1" applyBorder="1" applyProtection="1"/>
    <xf numFmtId="164" fontId="17" fillId="5" borderId="6" xfId="1" applyNumberFormat="1" applyFont="1" applyFill="1" applyBorder="1" applyProtection="1"/>
    <xf numFmtId="0" fontId="17" fillId="5" borderId="5" xfId="0" applyFont="1" applyFill="1" applyBorder="1" applyProtection="1"/>
    <xf numFmtId="0" fontId="17" fillId="5" borderId="1" xfId="0" applyFont="1" applyFill="1" applyBorder="1" applyProtection="1"/>
    <xf numFmtId="0" fontId="19" fillId="0" borderId="0" xfId="0" applyFont="1" applyAlignment="1" applyProtection="1">
      <alignment horizontal="right" wrapText="1"/>
    </xf>
    <xf numFmtId="9" fontId="20" fillId="0" borderId="0" xfId="0" applyNumberFormat="1" applyFont="1" applyProtection="1"/>
    <xf numFmtId="164" fontId="18" fillId="5" borderId="5" xfId="0" applyNumberFormat="1" applyFont="1" applyFill="1" applyBorder="1" applyProtection="1"/>
    <xf numFmtId="164" fontId="18" fillId="5" borderId="1" xfId="0" applyNumberFormat="1" applyFont="1" applyFill="1" applyBorder="1" applyProtection="1"/>
    <xf numFmtId="164" fontId="18" fillId="5" borderId="6" xfId="0" applyNumberFormat="1" applyFont="1" applyFill="1" applyBorder="1" applyProtection="1"/>
    <xf numFmtId="10" fontId="17" fillId="5" borderId="7" xfId="2" applyNumberFormat="1" applyFont="1" applyFill="1" applyBorder="1" applyProtection="1"/>
    <xf numFmtId="10" fontId="17" fillId="5" borderId="8" xfId="2" applyNumberFormat="1" applyFont="1" applyFill="1" applyBorder="1" applyProtection="1"/>
    <xf numFmtId="0" fontId="17" fillId="5" borderId="9" xfId="0" applyFont="1" applyFill="1" applyBorder="1" applyProtection="1"/>
    <xf numFmtId="164" fontId="18" fillId="5" borderId="7" xfId="1" applyNumberFormat="1" applyFont="1" applyFill="1" applyBorder="1" applyProtection="1"/>
    <xf numFmtId="164" fontId="18" fillId="5" borderId="8" xfId="1" applyNumberFormat="1" applyFont="1" applyFill="1" applyBorder="1" applyProtection="1"/>
    <xf numFmtId="164" fontId="18" fillId="5" borderId="9" xfId="1" applyNumberFormat="1" applyFont="1" applyFill="1" applyBorder="1" applyProtection="1"/>
    <xf numFmtId="43" fontId="17" fillId="5" borderId="36" xfId="1" applyNumberFormat="1" applyFont="1" applyFill="1" applyBorder="1" applyProtection="1"/>
    <xf numFmtId="0" fontId="17" fillId="5" borderId="37" xfId="0" applyFont="1" applyFill="1" applyBorder="1" applyProtection="1"/>
    <xf numFmtId="0" fontId="17" fillId="5" borderId="0" xfId="0" applyFont="1" applyFill="1" applyBorder="1" applyProtection="1"/>
    <xf numFmtId="9" fontId="17" fillId="0" borderId="0" xfId="0" applyNumberFormat="1" applyFont="1" applyProtection="1"/>
    <xf numFmtId="9" fontId="17" fillId="0" borderId="0" xfId="2" applyFont="1" applyProtection="1"/>
    <xf numFmtId="43" fontId="17" fillId="0" borderId="0" xfId="1" applyFont="1" applyProtection="1"/>
    <xf numFmtId="43" fontId="17" fillId="5" borderId="2" xfId="1" applyNumberFormat="1" applyFont="1" applyFill="1" applyBorder="1" applyProtection="1"/>
    <xf numFmtId="43" fontId="17" fillId="5" borderId="3" xfId="1" applyNumberFormat="1" applyFont="1" applyFill="1" applyBorder="1" applyProtection="1"/>
    <xf numFmtId="43" fontId="17" fillId="5" borderId="4" xfId="0" applyNumberFormat="1" applyFont="1" applyFill="1" applyBorder="1" applyProtection="1"/>
    <xf numFmtId="43" fontId="17" fillId="5" borderId="5" xfId="1" applyNumberFormat="1" applyFont="1" applyFill="1" applyBorder="1" applyProtection="1"/>
    <xf numFmtId="43" fontId="17" fillId="5" borderId="1" xfId="1" applyNumberFormat="1" applyFont="1" applyFill="1" applyBorder="1" applyProtection="1"/>
    <xf numFmtId="43" fontId="17" fillId="5" borderId="6" xfId="0" applyNumberFormat="1" applyFont="1" applyFill="1" applyBorder="1" applyProtection="1"/>
    <xf numFmtId="9" fontId="18" fillId="0" borderId="0" xfId="0" applyNumberFormat="1" applyFont="1" applyProtection="1"/>
    <xf numFmtId="43" fontId="18" fillId="5" borderId="7" xfId="1" applyNumberFormat="1" applyFont="1" applyFill="1" applyBorder="1" applyProtection="1"/>
    <xf numFmtId="43" fontId="18" fillId="5" borderId="8" xfId="1" applyNumberFormat="1" applyFont="1" applyFill="1" applyBorder="1" applyProtection="1"/>
    <xf numFmtId="43" fontId="18" fillId="5" borderId="9" xfId="1" applyNumberFormat="1" applyFont="1" applyFill="1" applyBorder="1" applyProtection="1"/>
    <xf numFmtId="0" fontId="18" fillId="5" borderId="0" xfId="0" applyFont="1" applyFill="1" applyBorder="1" applyProtection="1"/>
    <xf numFmtId="43" fontId="18" fillId="5" borderId="0" xfId="1" applyNumberFormat="1" applyFont="1" applyFill="1" applyProtection="1"/>
    <xf numFmtId="0" fontId="18" fillId="5" borderId="0" xfId="0" applyFont="1" applyFill="1" applyProtection="1"/>
    <xf numFmtId="10" fontId="18" fillId="0" borderId="8" xfId="0" applyNumberFormat="1" applyFont="1" applyBorder="1" applyAlignment="1" applyProtection="1">
      <alignment horizontal="center"/>
    </xf>
    <xf numFmtId="10" fontId="18" fillId="0" borderId="9" xfId="0" applyNumberFormat="1" applyFont="1" applyBorder="1" applyAlignment="1" applyProtection="1">
      <alignment horizontal="center"/>
    </xf>
    <xf numFmtId="164" fontId="18" fillId="0" borderId="0" xfId="0" applyNumberFormat="1" applyFont="1" applyProtection="1"/>
    <xf numFmtId="164" fontId="17" fillId="0" borderId="0" xfId="1" applyNumberFormat="1" applyFont="1" applyAlignment="1" applyProtection="1">
      <alignment horizontal="right"/>
    </xf>
    <xf numFmtId="0" fontId="18" fillId="0" borderId="2" xfId="0" applyFont="1" applyBorder="1" applyAlignment="1" applyProtection="1">
      <alignment horizontal="center"/>
    </xf>
    <xf numFmtId="164" fontId="18" fillId="0" borderId="3" xfId="1" applyNumberFormat="1" applyFont="1" applyBorder="1" applyAlignment="1" applyProtection="1">
      <alignment horizontal="center"/>
    </xf>
    <xf numFmtId="0" fontId="18" fillId="0" borderId="7" xfId="0" applyFont="1" applyBorder="1" applyAlignment="1" applyProtection="1">
      <alignment horizontal="center"/>
    </xf>
    <xf numFmtId="164" fontId="18" fillId="0" borderId="8" xfId="1" applyNumberFormat="1" applyFont="1" applyBorder="1" applyAlignment="1" applyProtection="1">
      <alignment horizontal="center"/>
    </xf>
    <xf numFmtId="164" fontId="18" fillId="0" borderId="9" xfId="1" applyNumberFormat="1" applyFont="1" applyBorder="1" applyAlignment="1" applyProtection="1">
      <alignment horizontal="center"/>
    </xf>
    <xf numFmtId="167" fontId="17" fillId="0" borderId="0" xfId="1" applyNumberFormat="1" applyFont="1" applyProtection="1"/>
    <xf numFmtId="164" fontId="17" fillId="0" borderId="0" xfId="1" applyNumberFormat="1" applyFont="1" applyFill="1" applyProtection="1"/>
    <xf numFmtId="0" fontId="17" fillId="0" borderId="0" xfId="0" applyFont="1" applyFill="1" applyProtection="1"/>
    <xf numFmtId="0" fontId="17" fillId="0" borderId="0" xfId="0" applyFont="1" applyAlignment="1" applyProtection="1"/>
    <xf numFmtId="164" fontId="17" fillId="0" borderId="0" xfId="1" applyNumberFormat="1" applyFont="1" applyAlignment="1" applyProtection="1"/>
    <xf numFmtId="0" fontId="17" fillId="4" borderId="38" xfId="0" applyFont="1" applyFill="1" applyBorder="1" applyAlignment="1" applyProtection="1"/>
    <xf numFmtId="0" fontId="17" fillId="4" borderId="46" xfId="0" applyFont="1" applyFill="1" applyBorder="1" applyAlignment="1" applyProtection="1"/>
    <xf numFmtId="164" fontId="17" fillId="4" borderId="47" xfId="1" applyNumberFormat="1" applyFont="1" applyFill="1" applyBorder="1" applyAlignment="1" applyProtection="1"/>
    <xf numFmtId="164" fontId="17" fillId="0" borderId="46" xfId="1" applyNumberFormat="1" applyFont="1" applyBorder="1" applyAlignment="1" applyProtection="1"/>
    <xf numFmtId="0" fontId="17" fillId="0" borderId="46" xfId="0" applyFont="1" applyBorder="1" applyAlignment="1" applyProtection="1"/>
    <xf numFmtId="0" fontId="17" fillId="4" borderId="40" xfId="0" applyFont="1" applyFill="1" applyBorder="1" applyAlignment="1" applyProtection="1"/>
    <xf numFmtId="0" fontId="17" fillId="4" borderId="0" xfId="0" applyFont="1" applyFill="1" applyBorder="1" applyAlignment="1" applyProtection="1"/>
    <xf numFmtId="164" fontId="17" fillId="4" borderId="49" xfId="1" applyNumberFormat="1" applyFont="1" applyFill="1" applyBorder="1" applyAlignment="1" applyProtection="1"/>
    <xf numFmtId="0" fontId="17" fillId="4" borderId="39" xfId="0" applyFont="1" applyFill="1" applyBorder="1" applyAlignment="1" applyProtection="1"/>
    <xf numFmtId="10" fontId="17" fillId="4" borderId="45" xfId="0" applyNumberFormat="1" applyFont="1" applyFill="1" applyBorder="1" applyAlignment="1" applyProtection="1"/>
    <xf numFmtId="164" fontId="17" fillId="4" borderId="48" xfId="1" applyNumberFormat="1" applyFont="1" applyFill="1" applyBorder="1" applyAlignment="1" applyProtection="1"/>
    <xf numFmtId="0" fontId="17" fillId="0" borderId="0" xfId="0" applyFont="1" applyAlignment="1" applyProtection="1">
      <alignment horizontal="right"/>
    </xf>
    <xf numFmtId="0" fontId="18" fillId="0" borderId="13" xfId="0" applyFont="1" applyBorder="1" applyAlignment="1" applyProtection="1">
      <alignment horizontal="center" wrapText="1"/>
    </xf>
    <xf numFmtId="0" fontId="18" fillId="0" borderId="14" xfId="0" applyFont="1" applyBorder="1" applyAlignment="1" applyProtection="1">
      <alignment horizontal="center"/>
    </xf>
    <xf numFmtId="0" fontId="18" fillId="0" borderId="15" xfId="0" applyFont="1" applyBorder="1" applyAlignment="1" applyProtection="1">
      <alignment horizontal="center"/>
    </xf>
    <xf numFmtId="164" fontId="17" fillId="0" borderId="0" xfId="0" applyNumberFormat="1" applyFont="1" applyProtection="1"/>
    <xf numFmtId="10" fontId="18" fillId="0" borderId="0" xfId="0" applyNumberFormat="1" applyFont="1" applyProtection="1"/>
    <xf numFmtId="43" fontId="18" fillId="0" borderId="0" xfId="1" applyFont="1" applyProtection="1"/>
    <xf numFmtId="166" fontId="18" fillId="0" borderId="0" xfId="1" applyNumberFormat="1" applyFont="1" applyProtection="1"/>
    <xf numFmtId="0" fontId="17" fillId="0" borderId="0" xfId="0" applyFont="1" applyBorder="1" applyAlignment="1" applyProtection="1">
      <alignment wrapText="1"/>
    </xf>
    <xf numFmtId="10" fontId="17" fillId="0" borderId="0" xfId="0" applyNumberFormat="1" applyFont="1" applyBorder="1" applyProtection="1"/>
    <xf numFmtId="164" fontId="17" fillId="0" borderId="0" xfId="0" applyNumberFormat="1" applyFont="1" applyBorder="1" applyProtection="1"/>
    <xf numFmtId="0" fontId="17" fillId="0" borderId="0" xfId="0" applyFont="1" applyBorder="1" applyProtection="1"/>
    <xf numFmtId="0" fontId="18" fillId="0" borderId="13" xfId="0" applyFont="1" applyBorder="1" applyAlignment="1" applyProtection="1">
      <alignment horizontal="center"/>
    </xf>
    <xf numFmtId="0" fontId="18" fillId="0" borderId="50" xfId="0" applyFont="1" applyBorder="1" applyAlignment="1" applyProtection="1">
      <alignment horizontal="center"/>
    </xf>
    <xf numFmtId="0" fontId="18" fillId="0" borderId="0" xfId="0" applyFont="1" applyAlignment="1" applyProtection="1">
      <alignment horizontal="right"/>
    </xf>
    <xf numFmtId="0" fontId="18" fillId="0" borderId="63" xfId="0" applyFont="1" applyBorder="1" applyProtection="1"/>
    <xf numFmtId="164" fontId="18" fillId="0" borderId="63" xfId="1" applyNumberFormat="1" applyFont="1" applyBorder="1" applyProtection="1"/>
    <xf numFmtId="164" fontId="6" fillId="5" borderId="0" xfId="1" applyNumberFormat="1" applyFont="1" applyFill="1" applyProtection="1"/>
    <xf numFmtId="0" fontId="6" fillId="0" borderId="0" xfId="0" applyFont="1" applyProtection="1"/>
    <xf numFmtId="0" fontId="5" fillId="0" borderId="2" xfId="0" applyFont="1" applyBorder="1" applyAlignment="1" applyProtection="1">
      <alignment horizontal="center"/>
    </xf>
    <xf numFmtId="0" fontId="5" fillId="0" borderId="3" xfId="0" applyFont="1" applyBorder="1" applyAlignment="1" applyProtection="1">
      <alignment horizontal="center"/>
    </xf>
    <xf numFmtId="0" fontId="5" fillId="0" borderId="4" xfId="0" applyFont="1" applyBorder="1" applyAlignment="1" applyProtection="1">
      <alignment horizontal="center"/>
    </xf>
    <xf numFmtId="164" fontId="5" fillId="5" borderId="3" xfId="1" applyNumberFormat="1" applyFont="1" applyFill="1" applyBorder="1" applyAlignment="1" applyProtection="1">
      <alignment horizontal="center"/>
    </xf>
    <xf numFmtId="164" fontId="5" fillId="5" borderId="4" xfId="1" applyNumberFormat="1" applyFont="1" applyFill="1" applyBorder="1" applyAlignment="1" applyProtection="1">
      <alignment horizontal="center"/>
    </xf>
    <xf numFmtId="0" fontId="5" fillId="0" borderId="5" xfId="0" applyFont="1" applyBorder="1" applyAlignment="1" applyProtection="1">
      <alignment horizontal="center"/>
    </xf>
    <xf numFmtId="0" fontId="5" fillId="0" borderId="1" xfId="0" applyFont="1" applyBorder="1" applyAlignment="1" applyProtection="1">
      <alignment horizontal="center"/>
    </xf>
    <xf numFmtId="0" fontId="5" fillId="0" borderId="6" xfId="0" applyFont="1" applyBorder="1" applyAlignment="1" applyProtection="1">
      <alignment horizontal="center"/>
    </xf>
    <xf numFmtId="164" fontId="5" fillId="5" borderId="1" xfId="1" applyNumberFormat="1" applyFont="1" applyFill="1" applyBorder="1" applyAlignment="1" applyProtection="1">
      <alignment horizontal="center"/>
    </xf>
    <xf numFmtId="164" fontId="5" fillId="5" borderId="6" xfId="1" applyNumberFormat="1" applyFont="1" applyFill="1" applyBorder="1" applyAlignment="1" applyProtection="1">
      <alignment horizontal="center"/>
    </xf>
    <xf numFmtId="0" fontId="5" fillId="0" borderId="7" xfId="0" applyFont="1" applyBorder="1" applyAlignment="1" applyProtection="1">
      <alignment horizontal="center"/>
    </xf>
    <xf numFmtId="0" fontId="5" fillId="0" borderId="8" xfId="0" applyFont="1" applyBorder="1" applyAlignment="1" applyProtection="1">
      <alignment horizontal="center"/>
    </xf>
    <xf numFmtId="0" fontId="5" fillId="0" borderId="9" xfId="0" applyFont="1" applyBorder="1" applyAlignment="1" applyProtection="1">
      <alignment horizontal="center"/>
    </xf>
    <xf numFmtId="164" fontId="5" fillId="5" borderId="8" xfId="1" applyNumberFormat="1" applyFont="1" applyFill="1" applyBorder="1" applyAlignment="1" applyProtection="1">
      <alignment horizontal="center"/>
    </xf>
    <xf numFmtId="164" fontId="5" fillId="5" borderId="9" xfId="1" applyNumberFormat="1" applyFont="1" applyFill="1" applyBorder="1" applyAlignment="1" applyProtection="1">
      <alignment horizontal="center"/>
    </xf>
    <xf numFmtId="165" fontId="6" fillId="0" borderId="0" xfId="0" applyNumberFormat="1" applyFont="1" applyProtection="1"/>
    <xf numFmtId="3" fontId="6" fillId="0" borderId="0" xfId="0" applyNumberFormat="1" applyFont="1" applyProtection="1"/>
    <xf numFmtId="9" fontId="6" fillId="0" borderId="0" xfId="0" applyNumberFormat="1" applyFont="1" applyProtection="1"/>
    <xf numFmtId="9" fontId="6" fillId="5" borderId="0" xfId="2" applyFont="1" applyFill="1" applyProtection="1"/>
    <xf numFmtId="0" fontId="5" fillId="0" borderId="0" xfId="0" applyFont="1" applyProtection="1"/>
    <xf numFmtId="10" fontId="5" fillId="0" borderId="0" xfId="0" applyNumberFormat="1" applyFont="1" applyProtection="1"/>
    <xf numFmtId="3" fontId="5" fillId="0" borderId="0" xfId="0" applyNumberFormat="1" applyFont="1" applyProtection="1"/>
    <xf numFmtId="9" fontId="5" fillId="0" borderId="0" xfId="2" applyFont="1" applyProtection="1"/>
    <xf numFmtId="3" fontId="5" fillId="2" borderId="0" xfId="0" applyNumberFormat="1" applyFont="1" applyFill="1" applyProtection="1"/>
    <xf numFmtId="9" fontId="5" fillId="5" borderId="0" xfId="2" applyFont="1" applyFill="1" applyProtection="1"/>
    <xf numFmtId="164" fontId="5" fillId="5" borderId="0" xfId="1" applyNumberFormat="1" applyFont="1" applyFill="1" applyProtection="1"/>
    <xf numFmtId="0" fontId="5" fillId="0" borderId="13" xfId="0" applyFont="1" applyBorder="1" applyAlignment="1" applyProtection="1">
      <alignment horizontal="center"/>
    </xf>
    <xf numFmtId="0" fontId="5" fillId="0" borderId="14" xfId="0" applyFont="1" applyBorder="1" applyAlignment="1" applyProtection="1">
      <alignment horizontal="center"/>
    </xf>
    <xf numFmtId="0" fontId="5" fillId="2" borderId="14" xfId="0" applyFont="1" applyFill="1" applyBorder="1" applyAlignment="1" applyProtection="1">
      <alignment horizontal="center"/>
    </xf>
    <xf numFmtId="164" fontId="5" fillId="5" borderId="14" xfId="1" applyNumberFormat="1" applyFont="1" applyFill="1" applyBorder="1" applyAlignment="1" applyProtection="1">
      <alignment horizontal="center"/>
    </xf>
    <xf numFmtId="164" fontId="5" fillId="5" borderId="15" xfId="1" applyNumberFormat="1" applyFont="1" applyFill="1" applyBorder="1" applyAlignment="1" applyProtection="1">
      <alignment horizontal="center"/>
    </xf>
    <xf numFmtId="165" fontId="6" fillId="2" borderId="0" xfId="2" applyNumberFormat="1" applyFont="1" applyFill="1" applyProtection="1"/>
    <xf numFmtId="0" fontId="5" fillId="5" borderId="0" xfId="1" applyNumberFormat="1" applyFont="1" applyFill="1" applyProtection="1"/>
    <xf numFmtId="10" fontId="5" fillId="2" borderId="0" xfId="0" applyNumberFormat="1" applyFont="1" applyFill="1" applyProtection="1"/>
    <xf numFmtId="0" fontId="6" fillId="2" borderId="0" xfId="0" applyFont="1" applyFill="1" applyProtection="1"/>
    <xf numFmtId="0" fontId="6" fillId="5" borderId="0" xfId="1" applyNumberFormat="1" applyFont="1" applyFill="1" applyProtection="1"/>
    <xf numFmtId="165" fontId="5" fillId="2" borderId="0" xfId="2" applyNumberFormat="1" applyFont="1" applyFill="1" applyProtection="1"/>
    <xf numFmtId="0" fontId="6" fillId="5" borderId="0" xfId="0" applyFont="1" applyFill="1" applyProtection="1"/>
    <xf numFmtId="164" fontId="5" fillId="0" borderId="8" xfId="1" applyNumberFormat="1" applyFont="1" applyBorder="1" applyAlignment="1" applyProtection="1">
      <alignment horizontal="center"/>
    </xf>
    <xf numFmtId="0" fontId="5" fillId="5" borderId="8" xfId="0" applyFont="1" applyFill="1" applyBorder="1" applyAlignment="1" applyProtection="1">
      <alignment horizontal="center"/>
    </xf>
    <xf numFmtId="0" fontId="15" fillId="0" borderId="0" xfId="0" applyFont="1" applyProtection="1"/>
    <xf numFmtId="164" fontId="5" fillId="0" borderId="3" xfId="1" applyNumberFormat="1" applyFont="1" applyBorder="1" applyAlignment="1" applyProtection="1">
      <alignment horizontal="center"/>
    </xf>
    <xf numFmtId="0" fontId="5" fillId="5" borderId="3" xfId="0" applyFont="1" applyFill="1" applyBorder="1" applyAlignment="1" applyProtection="1">
      <alignment horizontal="center"/>
    </xf>
    <xf numFmtId="9" fontId="5" fillId="0" borderId="0" xfId="0" applyNumberFormat="1" applyFont="1" applyProtection="1"/>
    <xf numFmtId="164" fontId="5" fillId="0" borderId="0" xfId="0" applyNumberFormat="1" applyFont="1" applyProtection="1"/>
    <xf numFmtId="9" fontId="5" fillId="5" borderId="0" xfId="0" applyNumberFormat="1" applyFont="1" applyFill="1" applyProtection="1"/>
    <xf numFmtId="165" fontId="5" fillId="0" borderId="8" xfId="2" applyNumberFormat="1" applyFont="1" applyBorder="1" applyAlignment="1" applyProtection="1">
      <alignment horizontal="center"/>
    </xf>
    <xf numFmtId="165" fontId="5" fillId="0" borderId="9" xfId="2" applyNumberFormat="1" applyFont="1" applyBorder="1" applyAlignment="1" applyProtection="1">
      <alignment horizontal="center"/>
    </xf>
    <xf numFmtId="164" fontId="6" fillId="0" borderId="0" xfId="1" applyNumberFormat="1" applyFont="1" applyAlignment="1" applyProtection="1">
      <alignment horizontal="right"/>
    </xf>
    <xf numFmtId="9" fontId="6" fillId="0" borderId="0" xfId="0" applyNumberFormat="1" applyFont="1" applyAlignment="1" applyProtection="1">
      <alignment horizontal="right"/>
    </xf>
    <xf numFmtId="0" fontId="16" fillId="0" borderId="0" xfId="0" applyFont="1" applyProtection="1"/>
    <xf numFmtId="0" fontId="5" fillId="0" borderId="38" xfId="0" applyFont="1" applyFill="1" applyBorder="1" applyAlignment="1" applyProtection="1">
      <alignment horizontal="center" wrapText="1"/>
    </xf>
    <xf numFmtId="0" fontId="5" fillId="0" borderId="46" xfId="0" applyFont="1" applyFill="1" applyBorder="1" applyAlignment="1" applyProtection="1">
      <alignment horizontal="center"/>
    </xf>
    <xf numFmtId="9" fontId="5" fillId="0" borderId="46" xfId="2" applyFont="1" applyFill="1" applyBorder="1" applyAlignment="1" applyProtection="1">
      <alignment horizontal="center"/>
    </xf>
    <xf numFmtId="164" fontId="5" fillId="0" borderId="46" xfId="1" applyNumberFormat="1" applyFont="1" applyFill="1" applyBorder="1" applyAlignment="1" applyProtection="1">
      <alignment horizontal="center"/>
    </xf>
    <xf numFmtId="165" fontId="5" fillId="0" borderId="47" xfId="2" applyNumberFormat="1" applyFont="1" applyFill="1" applyBorder="1" applyAlignment="1" applyProtection="1">
      <alignment horizontal="center"/>
    </xf>
    <xf numFmtId="0" fontId="5" fillId="0" borderId="2" xfId="0" applyFont="1" applyBorder="1" applyAlignment="1" applyProtection="1">
      <alignment horizontal="center" wrapText="1"/>
    </xf>
    <xf numFmtId="165" fontId="5" fillId="0" borderId="4" xfId="2" applyNumberFormat="1" applyFont="1" applyBorder="1" applyAlignment="1" applyProtection="1">
      <alignment horizontal="center"/>
    </xf>
    <xf numFmtId="0" fontId="6" fillId="0" borderId="0" xfId="0" applyFont="1" applyAlignment="1" applyProtection="1">
      <alignment wrapText="1"/>
    </xf>
    <xf numFmtId="9" fontId="6" fillId="0" borderId="0" xfId="2" applyFont="1" applyProtection="1"/>
    <xf numFmtId="0" fontId="5" fillId="0" borderId="63" xfId="0" applyFont="1" applyBorder="1" applyAlignment="1" applyProtection="1">
      <alignment wrapText="1"/>
    </xf>
    <xf numFmtId="0" fontId="5" fillId="0" borderId="63" xfId="0" applyFont="1" applyBorder="1" applyProtection="1"/>
    <xf numFmtId="165" fontId="5" fillId="0" borderId="63" xfId="2" applyNumberFormat="1" applyFont="1" applyBorder="1" applyProtection="1"/>
    <xf numFmtId="9" fontId="5" fillId="0" borderId="63" xfId="2" applyFont="1" applyBorder="1" applyProtection="1"/>
    <xf numFmtId="164" fontId="5" fillId="0" borderId="63" xfId="1" applyNumberFormat="1" applyFont="1" applyBorder="1" applyProtection="1"/>
    <xf numFmtId="10" fontId="6" fillId="0" borderId="0" xfId="0" applyNumberFormat="1" applyFont="1" applyProtection="1"/>
    <xf numFmtId="0" fontId="5" fillId="0" borderId="0" xfId="0" applyFont="1" applyAlignment="1" applyProtection="1">
      <alignment wrapText="1"/>
    </xf>
    <xf numFmtId="0" fontId="6" fillId="0" borderId="0" xfId="0" applyFont="1" applyAlignment="1" applyProtection="1">
      <alignment horizontal="center"/>
    </xf>
    <xf numFmtId="3" fontId="5" fillId="0" borderId="63" xfId="0" applyNumberFormat="1" applyFont="1" applyBorder="1" applyProtection="1"/>
    <xf numFmtId="0" fontId="5" fillId="9" borderId="0" xfId="0" applyFont="1" applyFill="1" applyAlignment="1" applyProtection="1">
      <alignment wrapText="1"/>
    </xf>
    <xf numFmtId="0" fontId="5" fillId="9" borderId="0" xfId="0" applyFont="1" applyFill="1" applyProtection="1"/>
    <xf numFmtId="10" fontId="5" fillId="9" borderId="0" xfId="0" applyNumberFormat="1" applyFont="1" applyFill="1" applyProtection="1"/>
    <xf numFmtId="165" fontId="5" fillId="9" borderId="0" xfId="2" applyNumberFormat="1" applyFont="1" applyFill="1" applyProtection="1"/>
    <xf numFmtId="9" fontId="5" fillId="9" borderId="0" xfId="2" applyFont="1" applyFill="1" applyProtection="1"/>
    <xf numFmtId="164" fontId="5" fillId="9" borderId="0" xfId="1" applyNumberFormat="1" applyFont="1" applyFill="1" applyProtection="1"/>
    <xf numFmtId="0" fontId="9" fillId="0" borderId="0" xfId="0" applyFont="1" applyProtection="1"/>
    <xf numFmtId="164" fontId="9" fillId="0" borderId="0" xfId="1" applyNumberFormat="1" applyFont="1" applyProtection="1"/>
    <xf numFmtId="9" fontId="9" fillId="0" borderId="0" xfId="2" applyFont="1" applyProtection="1"/>
    <xf numFmtId="0" fontId="5" fillId="0" borderId="0" xfId="0" applyFont="1" applyAlignment="1" applyProtection="1">
      <alignment horizontal="center"/>
    </xf>
    <xf numFmtId="164" fontId="5" fillId="0" borderId="0" xfId="1" applyNumberFormat="1" applyFont="1" applyAlignment="1" applyProtection="1">
      <alignment horizontal="center"/>
    </xf>
    <xf numFmtId="0" fontId="5" fillId="3" borderId="0" xfId="0" applyFont="1" applyFill="1" applyBorder="1" applyAlignment="1" applyProtection="1">
      <alignment horizontal="center"/>
    </xf>
    <xf numFmtId="164" fontId="6" fillId="0" borderId="0" xfId="1" applyNumberFormat="1" applyFont="1" applyAlignment="1" applyProtection="1"/>
    <xf numFmtId="164" fontId="6" fillId="0" borderId="0" xfId="1" applyNumberFormat="1" applyFont="1" applyAlignment="1" applyProtection="1">
      <alignment horizontal="center"/>
    </xf>
    <xf numFmtId="1" fontId="6" fillId="0" borderId="0" xfId="2" applyNumberFormat="1" applyFont="1" applyProtection="1"/>
    <xf numFmtId="0" fontId="15" fillId="0" borderId="0" xfId="0" applyFont="1" applyAlignment="1" applyProtection="1">
      <alignment horizontal="left"/>
    </xf>
    <xf numFmtId="0" fontId="9" fillId="0" borderId="0" xfId="0" applyFont="1" applyAlignment="1" applyProtection="1">
      <alignment wrapText="1"/>
    </xf>
    <xf numFmtId="6" fontId="6" fillId="0" borderId="0" xfId="0" applyNumberFormat="1" applyFont="1" applyProtection="1"/>
    <xf numFmtId="0" fontId="5" fillId="0" borderId="0" xfId="0" applyFont="1" applyBorder="1" applyProtection="1"/>
    <xf numFmtId="164" fontId="5" fillId="0" borderId="0" xfId="1" applyNumberFormat="1" applyFont="1" applyBorder="1" applyProtection="1"/>
    <xf numFmtId="165" fontId="5" fillId="0" borderId="0" xfId="2" applyNumberFormat="1" applyFont="1" applyBorder="1" applyProtection="1"/>
    <xf numFmtId="165" fontId="5" fillId="0" borderId="0" xfId="2" applyNumberFormat="1" applyFont="1" applyAlignment="1" applyProtection="1">
      <alignment horizontal="center"/>
    </xf>
    <xf numFmtId="0" fontId="6" fillId="0" borderId="63" xfId="0" applyFont="1" applyBorder="1" applyProtection="1"/>
    <xf numFmtId="0" fontId="5" fillId="0" borderId="55" xfId="0" applyFont="1" applyBorder="1" applyProtection="1"/>
    <xf numFmtId="164" fontId="5" fillId="0" borderId="55" xfId="1" applyNumberFormat="1" applyFont="1" applyBorder="1" applyProtection="1"/>
    <xf numFmtId="165" fontId="5" fillId="0" borderId="55" xfId="2" applyNumberFormat="1" applyFont="1" applyBorder="1" applyProtection="1"/>
    <xf numFmtId="165" fontId="9" fillId="0" borderId="0" xfId="2" applyNumberFormat="1" applyFont="1" applyProtection="1"/>
    <xf numFmtId="164" fontId="15" fillId="0" borderId="0" xfId="1" applyNumberFormat="1" applyFont="1" applyProtection="1"/>
    <xf numFmtId="0" fontId="5" fillId="0" borderId="33" xfId="0" applyFont="1" applyFill="1" applyBorder="1" applyAlignment="1" applyProtection="1">
      <alignment horizontal="center"/>
    </xf>
    <xf numFmtId="164" fontId="5" fillId="0" borderId="34" xfId="1" applyNumberFormat="1" applyFont="1" applyFill="1" applyBorder="1" applyAlignment="1" applyProtection="1">
      <alignment horizontal="center"/>
    </xf>
    <xf numFmtId="164" fontId="5" fillId="0" borderId="35" xfId="1" applyNumberFormat="1" applyFont="1" applyFill="1" applyBorder="1" applyAlignment="1" applyProtection="1">
      <alignment horizontal="center"/>
    </xf>
    <xf numFmtId="0" fontId="6" fillId="0" borderId="26" xfId="0" applyFont="1" applyBorder="1" applyProtection="1"/>
    <xf numFmtId="164" fontId="6" fillId="0" borderId="3" xfId="1" applyNumberFormat="1" applyFont="1" applyBorder="1" applyProtection="1"/>
    <xf numFmtId="164" fontId="6" fillId="0" borderId="27" xfId="1" applyNumberFormat="1" applyFont="1" applyBorder="1" applyProtection="1"/>
    <xf numFmtId="0" fontId="6" fillId="0" borderId="23" xfId="0" applyFont="1" applyBorder="1" applyProtection="1"/>
    <xf numFmtId="164" fontId="6" fillId="0" borderId="24" xfId="1" applyNumberFormat="1" applyFont="1" applyBorder="1" applyProtection="1"/>
    <xf numFmtId="164" fontId="6" fillId="0" borderId="25" xfId="1" applyNumberFormat="1" applyFont="1" applyBorder="1" applyProtection="1"/>
    <xf numFmtId="0" fontId="5" fillId="0" borderId="41" xfId="0" applyFont="1" applyFill="1" applyBorder="1" applyProtection="1"/>
    <xf numFmtId="164" fontId="5" fillId="0" borderId="21" xfId="1" applyNumberFormat="1" applyFont="1" applyFill="1" applyBorder="1" applyProtection="1"/>
    <xf numFmtId="0" fontId="6" fillId="0" borderId="17" xfId="0" applyFont="1" applyBorder="1" applyProtection="1"/>
    <xf numFmtId="164" fontId="6" fillId="0" borderId="1" xfId="1" applyNumberFormat="1" applyFont="1" applyBorder="1" applyProtection="1"/>
    <xf numFmtId="164" fontId="6" fillId="0" borderId="19" xfId="1" applyNumberFormat="1" applyFont="1" applyBorder="1" applyProtection="1"/>
    <xf numFmtId="0" fontId="5" fillId="0" borderId="13" xfId="0" applyFont="1" applyFill="1" applyBorder="1" applyProtection="1"/>
    <xf numFmtId="164" fontId="5" fillId="0" borderId="14" xfId="1" applyNumberFormat="1" applyFont="1" applyFill="1" applyBorder="1" applyProtection="1"/>
    <xf numFmtId="0" fontId="5" fillId="0" borderId="0" xfId="0" applyFont="1" applyFill="1" applyBorder="1" applyProtection="1"/>
    <xf numFmtId="164" fontId="5" fillId="0" borderId="0" xfId="1" applyNumberFormat="1" applyFont="1" applyFill="1" applyBorder="1" applyProtection="1"/>
    <xf numFmtId="0" fontId="5" fillId="0" borderId="26" xfId="0" applyFont="1" applyBorder="1" applyAlignment="1" applyProtection="1">
      <alignment horizontal="center"/>
    </xf>
    <xf numFmtId="164" fontId="5" fillId="0" borderId="27" xfId="1" applyNumberFormat="1" applyFont="1" applyBorder="1" applyAlignment="1" applyProtection="1">
      <alignment horizontal="center"/>
    </xf>
    <xf numFmtId="0" fontId="6" fillId="0" borderId="16" xfId="0" applyFont="1" applyBorder="1" applyProtection="1"/>
    <xf numFmtId="164" fontId="6" fillId="0" borderId="11" xfId="1" applyNumberFormat="1" applyFont="1" applyBorder="1" applyProtection="1"/>
    <xf numFmtId="164" fontId="6" fillId="0" borderId="18" xfId="1" applyNumberFormat="1" applyFont="1" applyBorder="1" applyProtection="1"/>
    <xf numFmtId="164" fontId="6" fillId="0" borderId="6" xfId="1" applyNumberFormat="1" applyFont="1" applyBorder="1" applyProtection="1"/>
    <xf numFmtId="164" fontId="6" fillId="0" borderId="32" xfId="1" applyNumberFormat="1" applyFont="1" applyBorder="1" applyProtection="1"/>
    <xf numFmtId="0" fontId="5" fillId="0" borderId="53" xfId="0" applyFont="1" applyFill="1" applyBorder="1" applyProtection="1"/>
    <xf numFmtId="164" fontId="5" fillId="0" borderId="34" xfId="1" applyNumberFormat="1" applyFont="1" applyFill="1" applyBorder="1" applyProtection="1"/>
    <xf numFmtId="0" fontId="5" fillId="0" borderId="13" xfId="0" applyFont="1" applyFill="1" applyBorder="1" applyAlignment="1" applyProtection="1">
      <alignment horizontal="center"/>
    </xf>
    <xf numFmtId="0" fontId="5" fillId="0" borderId="14" xfId="0" applyFont="1" applyFill="1" applyBorder="1" applyAlignment="1" applyProtection="1">
      <alignment horizontal="center"/>
    </xf>
    <xf numFmtId="0" fontId="5" fillId="0" borderId="15" xfId="0" applyFont="1" applyFill="1" applyBorder="1" applyAlignment="1" applyProtection="1">
      <alignment horizontal="center"/>
    </xf>
    <xf numFmtId="0" fontId="6" fillId="0" borderId="44" xfId="0" applyFont="1" applyBorder="1" applyProtection="1"/>
    <xf numFmtId="0" fontId="6" fillId="0" borderId="0" xfId="0" applyFont="1" applyBorder="1" applyProtection="1"/>
    <xf numFmtId="0" fontId="6" fillId="0" borderId="11" xfId="0" applyFont="1" applyBorder="1" applyProtection="1"/>
    <xf numFmtId="0" fontId="6" fillId="0" borderId="18" xfId="0" applyFont="1" applyBorder="1" applyProtection="1"/>
    <xf numFmtId="0" fontId="6" fillId="0" borderId="54" xfId="0" applyFont="1" applyBorder="1" applyProtection="1"/>
    <xf numFmtId="0" fontId="6" fillId="0" borderId="1" xfId="0" applyFont="1" applyBorder="1" applyProtection="1"/>
    <xf numFmtId="0" fontId="6" fillId="0" borderId="19" xfId="0" applyFont="1" applyBorder="1" applyProtection="1"/>
    <xf numFmtId="0" fontId="6" fillId="0" borderId="55" xfId="0" applyFont="1" applyBorder="1" applyProtection="1"/>
    <xf numFmtId="0" fontId="6" fillId="0" borderId="24" xfId="0" applyFont="1" applyBorder="1" applyProtection="1"/>
    <xf numFmtId="0" fontId="6" fillId="0" borderId="25" xfId="0" applyFont="1" applyBorder="1" applyProtection="1"/>
    <xf numFmtId="0" fontId="5" fillId="0" borderId="14" xfId="0" applyFont="1" applyFill="1" applyBorder="1" applyProtection="1"/>
    <xf numFmtId="0" fontId="5" fillId="0" borderId="15" xfId="0" applyFont="1" applyFill="1" applyBorder="1" applyProtection="1"/>
    <xf numFmtId="0" fontId="5" fillId="0" borderId="24" xfId="0" applyFont="1" applyFill="1" applyBorder="1" applyAlignment="1" applyProtection="1">
      <alignment horizontal="center"/>
    </xf>
    <xf numFmtId="0" fontId="5" fillId="0" borderId="32" xfId="0" applyFont="1" applyFill="1" applyBorder="1" applyAlignment="1" applyProtection="1">
      <alignment horizontal="center"/>
    </xf>
    <xf numFmtId="3" fontId="6" fillId="0" borderId="11" xfId="0" applyNumberFormat="1" applyFont="1" applyBorder="1" applyProtection="1"/>
    <xf numFmtId="3" fontId="6" fillId="0" borderId="18" xfId="0" applyNumberFormat="1" applyFont="1" applyBorder="1" applyProtection="1"/>
    <xf numFmtId="0" fontId="6" fillId="0" borderId="3" xfId="0" applyFont="1" applyBorder="1" applyProtection="1"/>
    <xf numFmtId="0" fontId="6" fillId="0" borderId="33" xfId="0" applyFont="1" applyFill="1" applyBorder="1" applyProtection="1"/>
    <xf numFmtId="0" fontId="5" fillId="0" borderId="34" xfId="0" applyFont="1" applyFill="1" applyBorder="1" applyAlignment="1" applyProtection="1">
      <alignment horizontal="center"/>
    </xf>
    <xf numFmtId="0" fontId="5" fillId="0" borderId="35" xfId="0" applyFont="1" applyFill="1" applyBorder="1" applyAlignment="1" applyProtection="1">
      <alignment horizontal="center"/>
    </xf>
    <xf numFmtId="0" fontId="6" fillId="0" borderId="27" xfId="0" applyFont="1" applyBorder="1" applyProtection="1"/>
    <xf numFmtId="3" fontId="6" fillId="0" borderId="19" xfId="0" applyNumberFormat="1" applyFont="1" applyBorder="1" applyProtection="1"/>
    <xf numFmtId="0" fontId="6" fillId="0" borderId="16" xfId="0" applyFont="1" applyFill="1" applyBorder="1" applyProtection="1"/>
    <xf numFmtId="0" fontId="6" fillId="0" borderId="11" xfId="0" applyFont="1" applyFill="1" applyBorder="1" applyAlignment="1" applyProtection="1">
      <alignment horizontal="center"/>
    </xf>
    <xf numFmtId="0" fontId="6" fillId="0" borderId="18" xfId="0" applyFont="1" applyFill="1" applyBorder="1" applyAlignment="1" applyProtection="1">
      <alignment horizontal="center"/>
    </xf>
    <xf numFmtId="0" fontId="6" fillId="0" borderId="23" xfId="0" applyFont="1" applyFill="1" applyBorder="1" applyProtection="1"/>
    <xf numFmtId="0" fontId="6" fillId="0" borderId="24" xfId="0" applyFont="1" applyFill="1" applyBorder="1" applyAlignment="1" applyProtection="1">
      <alignment horizontal="center"/>
    </xf>
    <xf numFmtId="0" fontId="6" fillId="0" borderId="25" xfId="0" applyFont="1" applyFill="1" applyBorder="1" applyAlignment="1" applyProtection="1">
      <alignment horizontal="center"/>
    </xf>
    <xf numFmtId="0" fontId="14" fillId="0" borderId="26" xfId="0" applyFont="1" applyBorder="1" applyProtection="1"/>
    <xf numFmtId="3" fontId="6" fillId="0" borderId="1" xfId="0" applyNumberFormat="1" applyFont="1" applyBorder="1" applyProtection="1"/>
    <xf numFmtId="0" fontId="5" fillId="0" borderId="17" xfId="0" applyFont="1" applyBorder="1" applyProtection="1"/>
    <xf numFmtId="3" fontId="5" fillId="0" borderId="1" xfId="0" applyNumberFormat="1" applyFont="1" applyBorder="1" applyProtection="1"/>
    <xf numFmtId="3" fontId="5" fillId="0" borderId="19" xfId="0" applyNumberFormat="1" applyFont="1" applyBorder="1" applyProtection="1"/>
    <xf numFmtId="0" fontId="10" fillId="0" borderId="17" xfId="0" applyFont="1" applyBorder="1" applyAlignment="1" applyProtection="1">
      <alignment horizontal="right"/>
    </xf>
    <xf numFmtId="1" fontId="10" fillId="0" borderId="1" xfId="0" applyNumberFormat="1" applyFont="1" applyBorder="1" applyAlignment="1" applyProtection="1">
      <alignment horizontal="right"/>
    </xf>
    <xf numFmtId="164" fontId="10" fillId="0" borderId="19" xfId="1" applyNumberFormat="1" applyFont="1" applyBorder="1" applyAlignment="1" applyProtection="1">
      <alignment horizontal="right"/>
    </xf>
    <xf numFmtId="0" fontId="6" fillId="11" borderId="11" xfId="0" applyFont="1" applyFill="1" applyBorder="1" applyAlignment="1" applyProtection="1">
      <alignment vertical="top" wrapText="1"/>
      <protection locked="0"/>
    </xf>
    <xf numFmtId="3" fontId="6" fillId="11" borderId="18" xfId="0" applyNumberFormat="1" applyFont="1" applyFill="1" applyBorder="1" applyAlignment="1" applyProtection="1">
      <alignment vertical="top" wrapText="1"/>
      <protection locked="0"/>
    </xf>
    <xf numFmtId="0" fontId="6" fillId="11" borderId="1" xfId="0" applyFont="1" applyFill="1" applyBorder="1" applyAlignment="1" applyProtection="1">
      <alignment vertical="top" wrapText="1"/>
      <protection locked="0"/>
    </xf>
    <xf numFmtId="3" fontId="6" fillId="11" borderId="19" xfId="0" applyNumberFormat="1" applyFont="1" applyFill="1" applyBorder="1" applyAlignment="1" applyProtection="1">
      <alignment vertical="top" wrapText="1"/>
      <protection locked="0"/>
    </xf>
    <xf numFmtId="9" fontId="6" fillId="11" borderId="1" xfId="0" applyNumberFormat="1" applyFont="1" applyFill="1" applyBorder="1" applyAlignment="1" applyProtection="1">
      <alignment vertical="top" wrapText="1"/>
      <protection locked="0"/>
    </xf>
    <xf numFmtId="0" fontId="13" fillId="11" borderId="19" xfId="0" applyFont="1" applyFill="1" applyBorder="1" applyAlignment="1" applyProtection="1">
      <alignment horizontal="right" wrapText="1"/>
      <protection locked="0"/>
    </xf>
    <xf numFmtId="3" fontId="6" fillId="8" borderId="24" xfId="0" applyNumberFormat="1" applyFont="1" applyFill="1" applyBorder="1" applyAlignment="1" applyProtection="1">
      <alignment vertical="top" wrapText="1"/>
      <protection locked="0"/>
    </xf>
    <xf numFmtId="3" fontId="6" fillId="11" borderId="25" xfId="0" applyNumberFormat="1" applyFont="1" applyFill="1" applyBorder="1" applyAlignment="1" applyProtection="1">
      <alignment vertical="top" wrapText="1"/>
      <protection locked="0"/>
    </xf>
    <xf numFmtId="10" fontId="6" fillId="11" borderId="27" xfId="0" applyNumberFormat="1" applyFont="1" applyFill="1" applyBorder="1" applyAlignment="1" applyProtection="1">
      <alignment horizontal="center" vertical="top" wrapText="1"/>
      <protection locked="0"/>
    </xf>
    <xf numFmtId="10" fontId="6" fillId="11" borderId="19" xfId="0" applyNumberFormat="1" applyFont="1" applyFill="1" applyBorder="1" applyAlignment="1" applyProtection="1">
      <alignment horizontal="center" vertical="top" wrapText="1"/>
      <protection locked="0"/>
    </xf>
    <xf numFmtId="9" fontId="6" fillId="11" borderId="19" xfId="0" applyNumberFormat="1" applyFont="1" applyFill="1" applyBorder="1" applyAlignment="1" applyProtection="1">
      <alignment horizontal="center" vertical="top" wrapText="1"/>
      <protection locked="0"/>
    </xf>
    <xf numFmtId="164" fontId="6" fillId="11" borderId="19" xfId="1" applyNumberFormat="1" applyFont="1" applyFill="1" applyBorder="1" applyAlignment="1" applyProtection="1">
      <alignment vertical="top" wrapText="1"/>
      <protection locked="0"/>
    </xf>
    <xf numFmtId="0" fontId="6" fillId="11" borderId="19" xfId="0" applyFont="1" applyFill="1" applyBorder="1" applyAlignment="1" applyProtection="1">
      <alignment horizontal="center" vertical="top" wrapText="1"/>
      <protection locked="0"/>
    </xf>
    <xf numFmtId="168" fontId="6" fillId="11" borderId="25" xfId="0" applyNumberFormat="1" applyFont="1" applyFill="1" applyBorder="1" applyAlignment="1" applyProtection="1">
      <alignment horizontal="center" vertical="top" wrapText="1"/>
      <protection locked="0"/>
    </xf>
    <xf numFmtId="0" fontId="5" fillId="0" borderId="20" xfId="0" applyFont="1" applyFill="1" applyBorder="1" applyAlignment="1" applyProtection="1">
      <alignment vertical="top" wrapText="1"/>
    </xf>
    <xf numFmtId="0" fontId="5" fillId="0" borderId="21" xfId="0" applyFont="1" applyFill="1" applyBorder="1" applyAlignment="1" applyProtection="1">
      <alignment vertical="top" wrapText="1"/>
    </xf>
    <xf numFmtId="0" fontId="5" fillId="0" borderId="22" xfId="0" applyFont="1" applyFill="1" applyBorder="1" applyAlignment="1" applyProtection="1">
      <alignment vertical="top" wrapText="1"/>
    </xf>
    <xf numFmtId="0" fontId="0" fillId="0" borderId="0" xfId="0" applyProtection="1"/>
    <xf numFmtId="164" fontId="3" fillId="0" borderId="3" xfId="1" applyNumberFormat="1" applyFont="1" applyBorder="1" applyAlignment="1" applyProtection="1">
      <alignment wrapText="1"/>
      <protection locked="0"/>
    </xf>
    <xf numFmtId="164" fontId="3" fillId="0" borderId="27" xfId="1" applyNumberFormat="1" applyFont="1" applyBorder="1" applyProtection="1">
      <protection locked="0"/>
    </xf>
    <xf numFmtId="164" fontId="3" fillId="0" borderId="1" xfId="1" applyNumberFormat="1" applyFont="1" applyBorder="1" applyAlignment="1" applyProtection="1">
      <alignment wrapText="1"/>
      <protection locked="0"/>
    </xf>
    <xf numFmtId="164" fontId="3" fillId="0" borderId="19" xfId="1" applyNumberFormat="1" applyFont="1" applyBorder="1" applyProtection="1">
      <protection locked="0"/>
    </xf>
    <xf numFmtId="9" fontId="3" fillId="0" borderId="9" xfId="2" applyFont="1" applyBorder="1" applyProtection="1">
      <protection locked="0"/>
    </xf>
    <xf numFmtId="164" fontId="3" fillId="0" borderId="1" xfId="1" applyNumberFormat="1" applyFont="1" applyFill="1" applyBorder="1" applyAlignment="1" applyProtection="1">
      <alignment wrapText="1"/>
      <protection locked="0"/>
    </xf>
    <xf numFmtId="43" fontId="3" fillId="0" borderId="1" xfId="1" applyNumberFormat="1" applyFont="1" applyFill="1" applyBorder="1" applyAlignment="1" applyProtection="1">
      <alignment wrapText="1"/>
      <protection locked="0"/>
    </xf>
    <xf numFmtId="164" fontId="3" fillId="0" borderId="6" xfId="1" applyNumberFormat="1" applyFont="1" applyFill="1" applyBorder="1" applyAlignment="1" applyProtection="1">
      <alignment wrapText="1"/>
      <protection locked="0"/>
    </xf>
    <xf numFmtId="164" fontId="3" fillId="0" borderId="25" xfId="1" applyNumberFormat="1" applyFont="1" applyBorder="1" applyProtection="1">
      <protection locked="0"/>
    </xf>
    <xf numFmtId="164" fontId="3" fillId="0" borderId="51" xfId="1" applyNumberFormat="1" applyFont="1" applyBorder="1" applyProtection="1">
      <protection locked="0"/>
    </xf>
    <xf numFmtId="164" fontId="3" fillId="0" borderId="11" xfId="1" applyNumberFormat="1" applyFont="1" applyBorder="1" applyAlignment="1" applyProtection="1">
      <alignment wrapText="1"/>
      <protection locked="0"/>
    </xf>
    <xf numFmtId="165" fontId="3" fillId="0" borderId="11" xfId="2" applyNumberFormat="1" applyFont="1" applyBorder="1" applyAlignment="1" applyProtection="1">
      <alignment wrapText="1"/>
      <protection locked="0"/>
    </xf>
    <xf numFmtId="164" fontId="3" fillId="4" borderId="16" xfId="1" applyNumberFormat="1" applyFont="1" applyFill="1" applyBorder="1" applyProtection="1">
      <protection locked="0"/>
    </xf>
    <xf numFmtId="164" fontId="3" fillId="4" borderId="11" xfId="1" applyNumberFormat="1" applyFont="1" applyFill="1" applyBorder="1" applyAlignment="1" applyProtection="1">
      <alignment wrapText="1"/>
      <protection locked="0"/>
    </xf>
    <xf numFmtId="164" fontId="3" fillId="4" borderId="11" xfId="1" applyNumberFormat="1" applyFont="1" applyFill="1" applyBorder="1" applyProtection="1">
      <protection locked="0"/>
    </xf>
    <xf numFmtId="164" fontId="3" fillId="4" borderId="12" xfId="1" applyNumberFormat="1" applyFont="1" applyFill="1" applyBorder="1" applyProtection="1">
      <protection locked="0"/>
    </xf>
    <xf numFmtId="164" fontId="3" fillId="4" borderId="17" xfId="1" applyNumberFormat="1" applyFont="1" applyFill="1" applyBorder="1" applyProtection="1">
      <protection locked="0"/>
    </xf>
    <xf numFmtId="164" fontId="3" fillId="4" borderId="1" xfId="1" applyNumberFormat="1" applyFont="1" applyFill="1" applyBorder="1" applyAlignment="1" applyProtection="1">
      <alignment wrapText="1"/>
      <protection locked="0"/>
    </xf>
    <xf numFmtId="164" fontId="3" fillId="4" borderId="1" xfId="1" applyNumberFormat="1" applyFont="1" applyFill="1" applyBorder="1" applyProtection="1">
      <protection locked="0"/>
    </xf>
    <xf numFmtId="164" fontId="3" fillId="4" borderId="6" xfId="1" applyNumberFormat="1" applyFont="1" applyFill="1" applyBorder="1" applyProtection="1">
      <protection locked="0"/>
    </xf>
    <xf numFmtId="165" fontId="3" fillId="0" borderId="1" xfId="2" applyNumberFormat="1" applyFont="1" applyBorder="1" applyAlignment="1" applyProtection="1">
      <alignment wrapText="1"/>
      <protection locked="0"/>
    </xf>
    <xf numFmtId="164" fontId="3" fillId="0" borderId="24" xfId="1" applyNumberFormat="1" applyFont="1" applyBorder="1" applyAlignment="1" applyProtection="1">
      <alignment wrapText="1"/>
      <protection locked="0"/>
    </xf>
    <xf numFmtId="164" fontId="3" fillId="0" borderId="8" xfId="1" applyNumberFormat="1" applyFont="1" applyBorder="1" applyAlignment="1" applyProtection="1">
      <alignment wrapText="1"/>
      <protection locked="0"/>
    </xf>
    <xf numFmtId="9" fontId="3" fillId="0" borderId="6" xfId="2" applyFont="1" applyBorder="1" applyAlignment="1" applyProtection="1">
      <alignment wrapText="1"/>
      <protection locked="0"/>
    </xf>
    <xf numFmtId="9" fontId="3" fillId="0" borderId="9" xfId="2" applyFont="1" applyBorder="1" applyAlignment="1" applyProtection="1">
      <alignment wrapText="1"/>
      <protection locked="0"/>
    </xf>
    <xf numFmtId="0" fontId="3" fillId="0" borderId="0" xfId="0" applyFont="1" applyAlignment="1" applyProtection="1">
      <alignment wrapText="1"/>
    </xf>
    <xf numFmtId="164" fontId="3" fillId="0" borderId="0" xfId="1" applyNumberFormat="1" applyFont="1" applyAlignment="1" applyProtection="1">
      <alignment wrapText="1"/>
    </xf>
    <xf numFmtId="0" fontId="2" fillId="6" borderId="0" xfId="0" applyFont="1" applyFill="1" applyAlignment="1" applyProtection="1">
      <alignment wrapText="1"/>
    </xf>
    <xf numFmtId="0" fontId="2" fillId="10" borderId="13" xfId="0" applyFont="1" applyFill="1" applyBorder="1" applyAlignment="1" applyProtection="1">
      <alignment wrapText="1"/>
    </xf>
    <xf numFmtId="0" fontId="2" fillId="10" borderId="14" xfId="0" applyFont="1" applyFill="1" applyBorder="1" applyAlignment="1" applyProtection="1">
      <alignment wrapText="1"/>
    </xf>
    <xf numFmtId="164" fontId="2" fillId="10" borderId="15" xfId="1" applyNumberFormat="1" applyFont="1" applyFill="1" applyBorder="1" applyAlignment="1" applyProtection="1">
      <alignment wrapText="1"/>
    </xf>
    <xf numFmtId="0" fontId="2" fillId="10" borderId="14" xfId="0" applyFont="1" applyFill="1" applyBorder="1" applyAlignment="1" applyProtection="1">
      <alignment horizontal="center" wrapText="1"/>
    </xf>
    <xf numFmtId="0" fontId="2" fillId="10" borderId="64" xfId="0" applyFont="1" applyFill="1" applyBorder="1" applyAlignment="1" applyProtection="1">
      <alignment horizontal="center" wrapText="1"/>
    </xf>
    <xf numFmtId="164" fontId="3" fillId="10" borderId="13" xfId="1" applyNumberFormat="1" applyFont="1" applyFill="1" applyBorder="1" applyProtection="1"/>
    <xf numFmtId="164" fontId="2" fillId="10" borderId="15" xfId="1" applyNumberFormat="1" applyFont="1" applyFill="1" applyBorder="1" applyAlignment="1" applyProtection="1">
      <alignment horizontal="center"/>
    </xf>
    <xf numFmtId="0" fontId="3" fillId="10" borderId="2" xfId="0" applyFont="1" applyFill="1" applyBorder="1" applyAlignment="1" applyProtection="1">
      <alignment wrapText="1"/>
    </xf>
    <xf numFmtId="164" fontId="3" fillId="10" borderId="3" xfId="1" applyNumberFormat="1" applyFont="1" applyFill="1" applyBorder="1" applyAlignment="1" applyProtection="1">
      <alignment wrapText="1"/>
    </xf>
    <xf numFmtId="0" fontId="3" fillId="10" borderId="10" xfId="0" applyFont="1" applyFill="1" applyBorder="1" applyAlignment="1" applyProtection="1">
      <alignment wrapText="1"/>
    </xf>
    <xf numFmtId="0" fontId="3" fillId="10" borderId="5" xfId="0" applyFont="1" applyFill="1" applyBorder="1" applyAlignment="1" applyProtection="1">
      <alignment wrapText="1"/>
    </xf>
    <xf numFmtId="164" fontId="3" fillId="10" borderId="1" xfId="1" applyNumberFormat="1" applyFont="1" applyFill="1" applyBorder="1" applyAlignment="1" applyProtection="1">
      <alignment wrapText="1"/>
    </xf>
    <xf numFmtId="164" fontId="3" fillId="10" borderId="6" xfId="1" applyNumberFormat="1" applyFont="1" applyFill="1" applyBorder="1" applyAlignment="1" applyProtection="1">
      <alignment wrapText="1"/>
    </xf>
    <xf numFmtId="0" fontId="3" fillId="10" borderId="7" xfId="0" applyFont="1" applyFill="1" applyBorder="1" applyAlignment="1" applyProtection="1">
      <alignment wrapText="1"/>
    </xf>
    <xf numFmtId="164" fontId="3" fillId="10" borderId="19" xfId="1" applyNumberFormat="1" applyFont="1" applyFill="1" applyBorder="1" applyProtection="1"/>
    <xf numFmtId="0" fontId="3" fillId="10" borderId="31" xfId="0" applyFont="1" applyFill="1" applyBorder="1" applyAlignment="1" applyProtection="1">
      <alignment wrapText="1"/>
    </xf>
    <xf numFmtId="164" fontId="3" fillId="10" borderId="24" xfId="1" applyNumberFormat="1" applyFont="1" applyFill="1" applyBorder="1" applyAlignment="1" applyProtection="1">
      <alignment wrapText="1"/>
    </xf>
    <xf numFmtId="164" fontId="3" fillId="10" borderId="8" xfId="1" applyNumberFormat="1" applyFont="1" applyFill="1" applyBorder="1" applyAlignment="1" applyProtection="1">
      <alignment wrapText="1"/>
    </xf>
    <xf numFmtId="164" fontId="3" fillId="10" borderId="9" xfId="1" applyNumberFormat="1" applyFont="1" applyFill="1" applyBorder="1" applyAlignment="1" applyProtection="1">
      <alignment wrapText="1"/>
    </xf>
    <xf numFmtId="0" fontId="2" fillId="10" borderId="2" xfId="0" applyFont="1" applyFill="1" applyBorder="1" applyAlignment="1" applyProtection="1">
      <alignment horizontal="center" wrapText="1"/>
    </xf>
    <xf numFmtId="164" fontId="2" fillId="10" borderId="3" xfId="1" applyNumberFormat="1" applyFont="1" applyFill="1" applyBorder="1" applyAlignment="1" applyProtection="1">
      <alignment horizontal="center" wrapText="1"/>
    </xf>
    <xf numFmtId="0" fontId="2" fillId="10" borderId="7" xfId="0" applyFont="1" applyFill="1" applyBorder="1" applyAlignment="1" applyProtection="1">
      <alignment horizontal="center" wrapText="1"/>
    </xf>
    <xf numFmtId="0" fontId="2" fillId="10" borderId="8" xfId="0" applyFont="1" applyFill="1" applyBorder="1" applyAlignment="1" applyProtection="1">
      <alignment horizontal="center" wrapText="1"/>
    </xf>
    <xf numFmtId="164" fontId="2" fillId="10" borderId="8" xfId="1" applyNumberFormat="1" applyFont="1" applyFill="1" applyBorder="1" applyAlignment="1" applyProtection="1">
      <alignment horizontal="center" wrapText="1"/>
    </xf>
    <xf numFmtId="164" fontId="2" fillId="10" borderId="8" xfId="1" applyNumberFormat="1" applyFont="1" applyFill="1" applyBorder="1" applyAlignment="1" applyProtection="1">
      <alignment horizontal="center"/>
    </xf>
    <xf numFmtId="164" fontId="2" fillId="10" borderId="9" xfId="1" applyNumberFormat="1" applyFont="1" applyFill="1" applyBorder="1" applyAlignment="1" applyProtection="1">
      <alignment horizontal="center"/>
    </xf>
    <xf numFmtId="164" fontId="3" fillId="10" borderId="11" xfId="1" applyNumberFormat="1" applyFont="1" applyFill="1" applyBorder="1" applyAlignment="1" applyProtection="1">
      <alignment wrapText="1"/>
    </xf>
    <xf numFmtId="165" fontId="3" fillId="10" borderId="1" xfId="2" applyNumberFormat="1" applyFont="1" applyFill="1" applyBorder="1" applyAlignment="1" applyProtection="1">
      <alignment wrapText="1"/>
    </xf>
    <xf numFmtId="164" fontId="3" fillId="10" borderId="17" xfId="1" applyNumberFormat="1" applyFont="1" applyFill="1" applyBorder="1" applyProtection="1"/>
    <xf numFmtId="164" fontId="3" fillId="10" borderId="1" xfId="1" applyNumberFormat="1" applyFont="1" applyFill="1" applyBorder="1" applyProtection="1"/>
    <xf numFmtId="164" fontId="3" fillId="10" borderId="6" xfId="1" applyNumberFormat="1" applyFont="1" applyFill="1" applyBorder="1" applyProtection="1"/>
    <xf numFmtId="165" fontId="3" fillId="10" borderId="8" xfId="2" applyNumberFormat="1" applyFont="1" applyFill="1" applyBorder="1" applyAlignment="1" applyProtection="1">
      <alignment wrapText="1"/>
    </xf>
    <xf numFmtId="164" fontId="3" fillId="10" borderId="56" xfId="1" applyNumberFormat="1" applyFont="1" applyFill="1" applyBorder="1" applyProtection="1"/>
    <xf numFmtId="164" fontId="3" fillId="10" borderId="8" xfId="1" applyNumberFormat="1" applyFont="1" applyFill="1" applyBorder="1" applyProtection="1"/>
    <xf numFmtId="164" fontId="3" fillId="10" borderId="9" xfId="1" applyNumberFormat="1" applyFont="1" applyFill="1" applyBorder="1" applyProtection="1"/>
    <xf numFmtId="0" fontId="3" fillId="10" borderId="57" xfId="0" applyFont="1" applyFill="1" applyBorder="1" applyAlignment="1" applyProtection="1">
      <alignment wrapText="1"/>
    </xf>
    <xf numFmtId="0" fontId="2" fillId="10" borderId="58" xfId="0" applyFont="1" applyFill="1" applyBorder="1" applyAlignment="1" applyProtection="1">
      <alignment wrapText="1"/>
    </xf>
    <xf numFmtId="0" fontId="3" fillId="0" borderId="0" xfId="0" applyFont="1" applyFill="1" applyAlignment="1" applyProtection="1">
      <alignment wrapText="1"/>
    </xf>
    <xf numFmtId="164" fontId="3" fillId="0" borderId="0" xfId="1" applyNumberFormat="1" applyFont="1" applyFill="1" applyAlignment="1" applyProtection="1">
      <alignment wrapText="1"/>
    </xf>
    <xf numFmtId="0" fontId="3" fillId="0" borderId="5" xfId="0" applyFont="1" applyBorder="1" applyAlignment="1" applyProtection="1">
      <alignment wrapText="1"/>
      <protection locked="0"/>
    </xf>
    <xf numFmtId="9" fontId="3" fillId="0" borderId="1" xfId="2" applyFont="1" applyBorder="1" applyProtection="1">
      <protection locked="0"/>
    </xf>
    <xf numFmtId="9" fontId="3" fillId="0" borderId="6" xfId="2" applyFont="1" applyBorder="1" applyProtection="1">
      <protection locked="0"/>
    </xf>
    <xf numFmtId="0" fontId="3" fillId="0" borderId="7" xfId="0" applyFont="1" applyBorder="1" applyAlignment="1" applyProtection="1">
      <alignment wrapText="1"/>
      <protection locked="0"/>
    </xf>
    <xf numFmtId="164" fontId="3" fillId="0" borderId="8" xfId="1" applyNumberFormat="1" applyFont="1" applyBorder="1" applyProtection="1">
      <protection locked="0"/>
    </xf>
    <xf numFmtId="164" fontId="3" fillId="0" borderId="1" xfId="1" applyNumberFormat="1" applyFont="1" applyBorder="1" applyProtection="1">
      <protection locked="0"/>
    </xf>
    <xf numFmtId="9" fontId="6" fillId="0" borderId="1" xfId="2" applyFont="1" applyFill="1" applyBorder="1" applyProtection="1">
      <protection locked="0"/>
    </xf>
    <xf numFmtId="9" fontId="6" fillId="0" borderId="8" xfId="2" applyFont="1" applyFill="1" applyBorder="1" applyProtection="1">
      <protection locked="0"/>
    </xf>
    <xf numFmtId="0" fontId="2" fillId="10" borderId="3" xfId="0" applyFont="1" applyFill="1" applyBorder="1" applyAlignment="1" applyProtection="1">
      <alignment horizontal="center"/>
    </xf>
    <xf numFmtId="164" fontId="2" fillId="10" borderId="3" xfId="1" applyNumberFormat="1" applyFont="1" applyFill="1" applyBorder="1" applyAlignment="1" applyProtection="1">
      <alignment horizontal="center"/>
    </xf>
    <xf numFmtId="0" fontId="2" fillId="10" borderId="2" xfId="0" applyFont="1" applyFill="1" applyBorder="1" applyAlignment="1" applyProtection="1">
      <alignment wrapText="1"/>
    </xf>
    <xf numFmtId="0" fontId="3" fillId="10" borderId="3" xfId="0" applyFont="1" applyFill="1" applyBorder="1" applyProtection="1"/>
    <xf numFmtId="164" fontId="3" fillId="10" borderId="3" xfId="1" applyNumberFormat="1" applyFont="1" applyFill="1" applyBorder="1" applyProtection="1"/>
    <xf numFmtId="0" fontId="2" fillId="10" borderId="5" xfId="0" applyFont="1" applyFill="1" applyBorder="1" applyAlignment="1" applyProtection="1">
      <alignment wrapText="1"/>
    </xf>
    <xf numFmtId="9" fontId="3" fillId="10" borderId="1" xfId="2" applyFont="1" applyFill="1" applyBorder="1" applyProtection="1"/>
    <xf numFmtId="0" fontId="2" fillId="10" borderId="36" xfId="0" applyFont="1" applyFill="1" applyBorder="1" applyAlignment="1" applyProtection="1">
      <alignment horizontal="center" wrapText="1"/>
    </xf>
    <xf numFmtId="165" fontId="3" fillId="0" borderId="11" xfId="2" applyNumberFormat="1" applyFont="1" applyBorder="1" applyProtection="1">
      <protection locked="0"/>
    </xf>
    <xf numFmtId="165" fontId="3" fillId="0" borderId="12" xfId="2" applyNumberFormat="1" applyFont="1" applyBorder="1" applyProtection="1">
      <protection locked="0"/>
    </xf>
    <xf numFmtId="165" fontId="3" fillId="0" borderId="8" xfId="2" applyNumberFormat="1" applyFont="1" applyBorder="1" applyProtection="1">
      <protection locked="0"/>
    </xf>
    <xf numFmtId="165" fontId="3" fillId="0" borderId="9" xfId="2" applyNumberFormat="1" applyFont="1" applyBorder="1" applyProtection="1">
      <protection locked="0"/>
    </xf>
    <xf numFmtId="164" fontId="3" fillId="0" borderId="12" xfId="1" applyNumberFormat="1" applyFont="1" applyBorder="1" applyProtection="1">
      <protection locked="0"/>
    </xf>
    <xf numFmtId="164" fontId="3" fillId="0" borderId="6" xfId="1" applyNumberFormat="1" applyFont="1" applyBorder="1" applyProtection="1">
      <protection locked="0"/>
    </xf>
    <xf numFmtId="164" fontId="3" fillId="0" borderId="9" xfId="1" applyNumberFormat="1" applyFont="1" applyBorder="1" applyProtection="1">
      <protection locked="0"/>
    </xf>
    <xf numFmtId="164" fontId="2" fillId="0" borderId="1" xfId="1" applyNumberFormat="1" applyFont="1" applyBorder="1" applyAlignment="1" applyProtection="1">
      <alignment horizontal="center"/>
      <protection locked="0"/>
    </xf>
    <xf numFmtId="164" fontId="2" fillId="0" borderId="6" xfId="1" applyNumberFormat="1" applyFont="1" applyBorder="1" applyAlignment="1" applyProtection="1">
      <alignment horizontal="center"/>
      <protection locked="0"/>
    </xf>
    <xf numFmtId="164" fontId="2" fillId="10" borderId="15" xfId="1" applyNumberFormat="1" applyFont="1" applyFill="1" applyBorder="1" applyAlignment="1" applyProtection="1">
      <alignment horizontal="center" wrapText="1"/>
    </xf>
    <xf numFmtId="164" fontId="2" fillId="0" borderId="0" xfId="1" applyNumberFormat="1" applyFont="1" applyAlignment="1" applyProtection="1">
      <alignment horizontal="center"/>
    </xf>
    <xf numFmtId="164" fontId="2" fillId="0" borderId="0" xfId="1" applyNumberFormat="1" applyFont="1" applyAlignment="1" applyProtection="1">
      <alignment horizontal="center" wrapText="1"/>
    </xf>
    <xf numFmtId="164" fontId="2" fillId="10" borderId="5" xfId="1" applyNumberFormat="1" applyFont="1" applyFill="1" applyBorder="1" applyAlignment="1" applyProtection="1">
      <alignment wrapText="1"/>
    </xf>
    <xf numFmtId="164" fontId="2" fillId="10" borderId="7" xfId="1" applyNumberFormat="1" applyFont="1" applyFill="1" applyBorder="1" applyAlignment="1" applyProtection="1">
      <alignment wrapText="1"/>
    </xf>
    <xf numFmtId="9" fontId="3" fillId="0" borderId="0" xfId="2" applyFont="1" applyBorder="1" applyProtection="1"/>
    <xf numFmtId="9" fontId="3" fillId="0" borderId="0" xfId="2" applyFont="1" applyBorder="1" applyAlignment="1" applyProtection="1">
      <alignment wrapText="1"/>
    </xf>
    <xf numFmtId="164" fontId="2" fillId="0" borderId="0" xfId="1" applyNumberFormat="1" applyFont="1" applyBorder="1" applyAlignment="1" applyProtection="1">
      <alignment wrapText="1"/>
    </xf>
    <xf numFmtId="165" fontId="3" fillId="0" borderId="0" xfId="2" applyNumberFormat="1" applyFont="1" applyBorder="1" applyProtection="1"/>
    <xf numFmtId="164" fontId="2" fillId="10" borderId="10" xfId="1" applyNumberFormat="1" applyFont="1" applyFill="1" applyBorder="1" applyAlignment="1" applyProtection="1">
      <alignment wrapText="1"/>
    </xf>
    <xf numFmtId="164" fontId="2" fillId="10" borderId="61" xfId="1" applyNumberFormat="1" applyFont="1" applyFill="1" applyBorder="1" applyProtection="1"/>
    <xf numFmtId="164" fontId="3" fillId="10" borderId="0" xfId="1" applyNumberFormat="1" applyFont="1" applyFill="1" applyProtection="1"/>
    <xf numFmtId="164" fontId="2" fillId="10" borderId="19" xfId="1" applyNumberFormat="1" applyFont="1" applyFill="1" applyBorder="1" applyProtection="1"/>
    <xf numFmtId="164" fontId="3" fillId="10" borderId="23" xfId="1" applyNumberFormat="1" applyFont="1" applyFill="1" applyBorder="1" applyProtection="1"/>
    <xf numFmtId="164" fontId="2" fillId="10" borderId="51" xfId="1" applyNumberFormat="1" applyFont="1" applyFill="1" applyBorder="1" applyAlignment="1" applyProtection="1">
      <alignment wrapText="1"/>
    </xf>
    <xf numFmtId="164" fontId="3" fillId="0" borderId="0" xfId="1" applyNumberFormat="1" applyFont="1" applyBorder="1" applyProtection="1"/>
    <xf numFmtId="164" fontId="2" fillId="10" borderId="59" xfId="1" applyNumberFormat="1" applyFont="1" applyFill="1" applyBorder="1" applyAlignment="1" applyProtection="1">
      <alignment wrapText="1"/>
    </xf>
    <xf numFmtId="164" fontId="2" fillId="10" borderId="26" xfId="1" applyNumberFormat="1" applyFont="1" applyFill="1" applyBorder="1" applyAlignment="1" applyProtection="1">
      <alignment wrapText="1"/>
    </xf>
    <xf numFmtId="164" fontId="2" fillId="10" borderId="62" xfId="1" applyNumberFormat="1" applyFont="1" applyFill="1" applyBorder="1" applyAlignment="1" applyProtection="1">
      <alignment wrapText="1"/>
    </xf>
    <xf numFmtId="164" fontId="2" fillId="10" borderId="17" xfId="1" applyNumberFormat="1" applyFont="1" applyFill="1" applyBorder="1" applyAlignment="1" applyProtection="1">
      <alignment wrapText="1"/>
    </xf>
    <xf numFmtId="164" fontId="3" fillId="10" borderId="62" xfId="1" applyNumberFormat="1" applyFont="1" applyFill="1" applyBorder="1" applyAlignment="1" applyProtection="1">
      <alignment wrapText="1"/>
    </xf>
    <xf numFmtId="164" fontId="3" fillId="10" borderId="17" xfId="1" applyNumberFormat="1" applyFont="1" applyFill="1" applyBorder="1" applyAlignment="1" applyProtection="1">
      <alignment wrapText="1"/>
    </xf>
    <xf numFmtId="164" fontId="3" fillId="10" borderId="60" xfId="1" applyNumberFormat="1" applyFont="1" applyFill="1" applyBorder="1" applyAlignment="1" applyProtection="1">
      <alignment wrapText="1"/>
    </xf>
    <xf numFmtId="164" fontId="3" fillId="10" borderId="56" xfId="1" applyNumberFormat="1" applyFont="1" applyFill="1" applyBorder="1" applyAlignment="1" applyProtection="1">
      <alignment wrapText="1"/>
    </xf>
    <xf numFmtId="0" fontId="6" fillId="10" borderId="16" xfId="0" applyFont="1" applyFill="1" applyBorder="1" applyAlignment="1" applyProtection="1">
      <alignment vertical="top" wrapText="1"/>
    </xf>
    <xf numFmtId="0" fontId="6" fillId="10" borderId="17" xfId="0" applyFont="1" applyFill="1" applyBorder="1" applyAlignment="1" applyProtection="1">
      <alignment vertical="top" wrapText="1"/>
    </xf>
    <xf numFmtId="0" fontId="6" fillId="10" borderId="23" xfId="0" applyFont="1" applyFill="1" applyBorder="1" applyAlignment="1" applyProtection="1">
      <alignment vertical="top" wrapText="1"/>
    </xf>
    <xf numFmtId="0" fontId="6" fillId="10" borderId="26" xfId="0" applyFont="1" applyFill="1" applyBorder="1" applyAlignment="1" applyProtection="1">
      <alignment vertical="top" wrapText="1"/>
    </xf>
    <xf numFmtId="9" fontId="5" fillId="0" borderId="63" xfId="2" applyNumberFormat="1" applyFont="1" applyBorder="1" applyProtection="1"/>
    <xf numFmtId="0" fontId="22" fillId="0" borderId="0" xfId="0" applyFont="1" applyBorder="1" applyProtection="1"/>
    <xf numFmtId="0" fontId="22" fillId="0" borderId="0" xfId="0" applyFont="1" applyBorder="1" applyAlignment="1" applyProtection="1">
      <alignment wrapText="1"/>
    </xf>
    <xf numFmtId="164" fontId="22" fillId="0" borderId="0" xfId="1" applyNumberFormat="1" applyFont="1" applyBorder="1" applyProtection="1"/>
    <xf numFmtId="165" fontId="22" fillId="0" borderId="0" xfId="2" applyNumberFormat="1" applyFont="1" applyBorder="1" applyProtection="1"/>
    <xf numFmtId="0" fontId="22" fillId="0" borderId="0" xfId="0" applyFont="1" applyProtection="1"/>
    <xf numFmtId="0" fontId="22" fillId="0" borderId="0" xfId="0" applyFont="1" applyAlignment="1" applyProtection="1">
      <alignment wrapText="1"/>
    </xf>
    <xf numFmtId="164" fontId="22" fillId="0" borderId="0" xfId="1" applyNumberFormat="1" applyFont="1" applyProtection="1"/>
    <xf numFmtId="165" fontId="22" fillId="0" borderId="0" xfId="2" applyNumberFormat="1" applyFont="1" applyProtection="1"/>
    <xf numFmtId="164" fontId="22" fillId="0" borderId="0" xfId="1" applyNumberFormat="1" applyFont="1" applyAlignment="1" applyProtection="1">
      <alignment horizontal="right"/>
    </xf>
    <xf numFmtId="164" fontId="5" fillId="0" borderId="63" xfId="1" applyNumberFormat="1" applyFont="1" applyBorder="1" applyAlignment="1" applyProtection="1">
      <alignment horizontal="right"/>
    </xf>
    <xf numFmtId="0" fontId="5" fillId="0" borderId="28" xfId="0" applyFont="1" applyBorder="1" applyProtection="1"/>
    <xf numFmtId="0" fontId="5" fillId="0" borderId="29" xfId="0" applyFont="1" applyBorder="1" applyProtection="1"/>
    <xf numFmtId="164" fontId="5" fillId="0" borderId="29" xfId="1" applyNumberFormat="1" applyFont="1" applyBorder="1" applyProtection="1"/>
    <xf numFmtId="165" fontId="5" fillId="0" borderId="29" xfId="2" applyNumberFormat="1" applyFont="1" applyBorder="1" applyProtection="1"/>
    <xf numFmtId="164" fontId="5" fillId="0" borderId="30" xfId="1" applyNumberFormat="1" applyFont="1" applyBorder="1" applyProtection="1"/>
    <xf numFmtId="0" fontId="5" fillId="9" borderId="0" xfId="0" applyFont="1" applyFill="1" applyBorder="1" applyProtection="1"/>
    <xf numFmtId="164" fontId="5" fillId="9" borderId="0" xfId="1" applyNumberFormat="1" applyFont="1" applyFill="1" applyBorder="1" applyProtection="1"/>
    <xf numFmtId="165" fontId="5" fillId="9" borderId="0" xfId="2" applyNumberFormat="1" applyFont="1" applyFill="1" applyBorder="1" applyProtection="1"/>
    <xf numFmtId="0" fontId="5" fillId="9" borderId="38" xfId="0" applyFont="1" applyFill="1" applyBorder="1" applyProtection="1"/>
    <xf numFmtId="0" fontId="5" fillId="9" borderId="46" xfId="0" applyFont="1" applyFill="1" applyBorder="1" applyProtection="1"/>
    <xf numFmtId="164" fontId="5" fillId="9" borderId="46" xfId="1" applyNumberFormat="1" applyFont="1" applyFill="1" applyBorder="1" applyProtection="1"/>
    <xf numFmtId="165" fontId="5" fillId="9" borderId="46" xfId="2" applyNumberFormat="1" applyFont="1" applyFill="1" applyBorder="1" applyProtection="1"/>
    <xf numFmtId="164" fontId="5" fillId="9" borderId="47" xfId="1" applyNumberFormat="1" applyFont="1" applyFill="1" applyBorder="1" applyProtection="1"/>
    <xf numFmtId="0" fontId="5" fillId="9" borderId="40" xfId="0" applyFont="1" applyFill="1" applyBorder="1" applyProtection="1"/>
    <xf numFmtId="164" fontId="5" fillId="9" borderId="49" xfId="1" applyNumberFormat="1" applyFont="1" applyFill="1" applyBorder="1" applyProtection="1"/>
    <xf numFmtId="0" fontId="5" fillId="9" borderId="39" xfId="0" applyFont="1" applyFill="1" applyBorder="1" applyProtection="1"/>
    <xf numFmtId="0" fontId="5" fillId="9" borderId="45" xfId="0" applyFont="1" applyFill="1" applyBorder="1" applyProtection="1"/>
    <xf numFmtId="164" fontId="5" fillId="9" borderId="45" xfId="1" applyNumberFormat="1" applyFont="1" applyFill="1" applyBorder="1" applyProtection="1"/>
    <xf numFmtId="165" fontId="5" fillId="9" borderId="45" xfId="2" applyNumberFormat="1" applyFont="1" applyFill="1" applyBorder="1" applyProtection="1"/>
    <xf numFmtId="164" fontId="5" fillId="9" borderId="48" xfId="1" applyNumberFormat="1" applyFont="1" applyFill="1" applyBorder="1" applyProtection="1"/>
    <xf numFmtId="0" fontId="5" fillId="0" borderId="38" xfId="0" applyFont="1" applyBorder="1" applyAlignment="1" applyProtection="1">
      <alignment horizontal="center" wrapText="1"/>
    </xf>
    <xf numFmtId="0" fontId="5" fillId="0" borderId="46" xfId="0" applyFont="1" applyBorder="1" applyAlignment="1" applyProtection="1">
      <alignment horizontal="center"/>
    </xf>
    <xf numFmtId="164" fontId="5" fillId="0" borderId="47" xfId="1" applyNumberFormat="1" applyFont="1" applyBorder="1" applyAlignment="1" applyProtection="1">
      <alignment horizontal="center"/>
    </xf>
    <xf numFmtId="0" fontId="5" fillId="0" borderId="39" xfId="0" applyFont="1" applyBorder="1" applyAlignment="1" applyProtection="1">
      <alignment horizontal="center" wrapText="1"/>
    </xf>
    <xf numFmtId="0" fontId="5" fillId="0" borderId="45" xfId="0" applyFont="1" applyBorder="1" applyAlignment="1" applyProtection="1">
      <alignment horizontal="center"/>
    </xf>
    <xf numFmtId="164" fontId="5" fillId="0" borderId="48" xfId="1" applyNumberFormat="1" applyFont="1" applyBorder="1" applyAlignment="1" applyProtection="1">
      <alignment horizontal="center"/>
    </xf>
    <xf numFmtId="0" fontId="5" fillId="0" borderId="28" xfId="0" applyFont="1" applyBorder="1" applyAlignment="1" applyProtection="1">
      <alignment wrapText="1"/>
    </xf>
    <xf numFmtId="0" fontId="5" fillId="0" borderId="28" xfId="0" applyFont="1" applyBorder="1" applyAlignment="1" applyProtection="1">
      <alignment horizontal="center" wrapText="1"/>
    </xf>
    <xf numFmtId="0" fontId="5" fillId="0" borderId="29" xfId="0" applyFont="1" applyBorder="1" applyAlignment="1" applyProtection="1">
      <alignment horizontal="center"/>
    </xf>
    <xf numFmtId="164" fontId="5" fillId="0" borderId="30" xfId="1" applyNumberFormat="1" applyFont="1" applyBorder="1" applyAlignment="1" applyProtection="1">
      <alignment horizontal="center"/>
    </xf>
    <xf numFmtId="0" fontId="5" fillId="2" borderId="28" xfId="0" applyFont="1" applyFill="1" applyBorder="1" applyAlignment="1" applyProtection="1">
      <alignment wrapText="1"/>
    </xf>
    <xf numFmtId="0" fontId="5" fillId="2" borderId="29" xfId="0" applyFont="1" applyFill="1" applyBorder="1" applyProtection="1"/>
    <xf numFmtId="164" fontId="5" fillId="2" borderId="30" xfId="1" applyNumberFormat="1" applyFont="1" applyFill="1" applyBorder="1" applyProtection="1"/>
    <xf numFmtId="164" fontId="6" fillId="0" borderId="0" xfId="1" applyNumberFormat="1" applyFont="1" applyFill="1" applyProtection="1"/>
    <xf numFmtId="0" fontId="5" fillId="11" borderId="38" xfId="0" applyFont="1" applyFill="1" applyBorder="1" applyAlignment="1" applyProtection="1">
      <alignment horizontal="center" vertical="top"/>
    </xf>
    <xf numFmtId="0" fontId="5" fillId="11" borderId="46" xfId="0" applyFont="1" applyFill="1" applyBorder="1" applyAlignment="1" applyProtection="1">
      <alignment horizontal="center"/>
    </xf>
    <xf numFmtId="1" fontId="5" fillId="11" borderId="46" xfId="2" applyNumberFormat="1" applyFont="1" applyFill="1" applyBorder="1" applyAlignment="1" applyProtection="1">
      <alignment horizontal="center"/>
    </xf>
    <xf numFmtId="164" fontId="5" fillId="11" borderId="46" xfId="1" applyNumberFormat="1" applyFont="1" applyFill="1" applyBorder="1" applyAlignment="1" applyProtection="1">
      <alignment horizontal="center"/>
    </xf>
    <xf numFmtId="164" fontId="5" fillId="11" borderId="46" xfId="1" applyNumberFormat="1" applyFont="1" applyFill="1" applyBorder="1" applyAlignment="1" applyProtection="1"/>
    <xf numFmtId="164" fontId="5" fillId="11" borderId="47" xfId="1" applyNumberFormat="1" applyFont="1" applyFill="1" applyBorder="1" applyAlignment="1" applyProtection="1"/>
    <xf numFmtId="0" fontId="5" fillId="11" borderId="39" xfId="0" applyFont="1" applyFill="1" applyBorder="1" applyAlignment="1" applyProtection="1">
      <alignment horizontal="center" vertical="top"/>
    </xf>
    <xf numFmtId="0" fontId="5" fillId="11" borderId="45" xfId="0" applyFont="1" applyFill="1" applyBorder="1" applyAlignment="1" applyProtection="1">
      <alignment horizontal="center"/>
    </xf>
    <xf numFmtId="1" fontId="5" fillId="11" borderId="45" xfId="2" applyNumberFormat="1" applyFont="1" applyFill="1" applyBorder="1" applyAlignment="1" applyProtection="1">
      <alignment horizontal="center"/>
    </xf>
    <xf numFmtId="164" fontId="5" fillId="11" borderId="45" xfId="1" applyNumberFormat="1" applyFont="1" applyFill="1" applyBorder="1" applyAlignment="1" applyProtection="1">
      <alignment horizontal="center"/>
    </xf>
    <xf numFmtId="164" fontId="5" fillId="11" borderId="48" xfId="1" applyNumberFormat="1" applyFont="1" applyFill="1" applyBorder="1" applyAlignment="1" applyProtection="1">
      <alignment horizontal="center"/>
    </xf>
    <xf numFmtId="1" fontId="5" fillId="0" borderId="63" xfId="2" applyNumberFormat="1" applyFont="1" applyBorder="1" applyProtection="1"/>
    <xf numFmtId="0" fontId="5" fillId="11" borderId="38" xfId="0" applyFont="1" applyFill="1" applyBorder="1" applyAlignment="1" applyProtection="1">
      <alignment horizontal="center"/>
    </xf>
    <xf numFmtId="9" fontId="5" fillId="11" borderId="47" xfId="2" applyFont="1" applyFill="1" applyBorder="1" applyAlignment="1" applyProtection="1">
      <alignment horizontal="center"/>
    </xf>
    <xf numFmtId="0" fontId="5" fillId="11" borderId="40" xfId="0" applyFont="1" applyFill="1" applyBorder="1" applyAlignment="1" applyProtection="1">
      <alignment horizontal="center"/>
    </xf>
    <xf numFmtId="164" fontId="5" fillId="11" borderId="0" xfId="1" applyNumberFormat="1" applyFont="1" applyFill="1" applyBorder="1" applyAlignment="1" applyProtection="1">
      <alignment horizontal="center"/>
    </xf>
    <xf numFmtId="9" fontId="5" fillId="11" borderId="49" xfId="2" applyFont="1" applyFill="1" applyBorder="1" applyAlignment="1" applyProtection="1">
      <alignment horizontal="center"/>
    </xf>
    <xf numFmtId="0" fontId="5" fillId="11" borderId="39" xfId="0" applyFont="1" applyFill="1" applyBorder="1" applyAlignment="1" applyProtection="1">
      <alignment horizontal="center"/>
    </xf>
    <xf numFmtId="9" fontId="5" fillId="11" borderId="48" xfId="2" applyFont="1" applyFill="1" applyBorder="1" applyAlignment="1" applyProtection="1">
      <alignment horizontal="center"/>
    </xf>
    <xf numFmtId="0" fontId="6" fillId="0" borderId="0" xfId="0" applyFont="1" applyFill="1" applyProtection="1"/>
    <xf numFmtId="0" fontId="5" fillId="0" borderId="0" xfId="0" applyFont="1" applyFill="1" applyProtection="1"/>
    <xf numFmtId="0" fontId="18" fillId="0" borderId="28" xfId="0" applyFont="1" applyBorder="1" applyProtection="1"/>
    <xf numFmtId="3" fontId="18" fillId="0" borderId="29" xfId="0" applyNumberFormat="1" applyFont="1" applyBorder="1" applyProtection="1"/>
    <xf numFmtId="3" fontId="18" fillId="0" borderId="30" xfId="0" applyNumberFormat="1" applyFont="1" applyBorder="1" applyProtection="1"/>
    <xf numFmtId="3" fontId="18" fillId="0" borderId="63" xfId="0" applyNumberFormat="1" applyFont="1" applyBorder="1" applyProtection="1"/>
    <xf numFmtId="164" fontId="18" fillId="0" borderId="54" xfId="0" applyNumberFormat="1" applyFont="1" applyBorder="1" applyProtection="1"/>
    <xf numFmtId="0" fontId="18" fillId="0" borderId="54" xfId="0" applyFont="1" applyBorder="1" applyAlignment="1" applyProtection="1">
      <alignment wrapText="1"/>
    </xf>
    <xf numFmtId="0" fontId="18" fillId="0" borderId="54" xfId="0" applyFont="1" applyBorder="1" applyProtection="1"/>
    <xf numFmtId="164" fontId="18" fillId="0" borderId="54" xfId="1" applyNumberFormat="1" applyFont="1" applyBorder="1" applyProtection="1"/>
    <xf numFmtId="3" fontId="18" fillId="0" borderId="54" xfId="0" applyNumberFormat="1" applyFont="1" applyBorder="1" applyProtection="1"/>
    <xf numFmtId="3" fontId="18" fillId="0" borderId="66" xfId="0" applyNumberFormat="1" applyFont="1" applyBorder="1" applyProtection="1"/>
    <xf numFmtId="0" fontId="18" fillId="0" borderId="2" xfId="0" applyFont="1" applyFill="1" applyBorder="1" applyProtection="1"/>
    <xf numFmtId="0" fontId="18" fillId="0" borderId="3" xfId="0" applyFont="1" applyFill="1" applyBorder="1" applyProtection="1"/>
    <xf numFmtId="0" fontId="18" fillId="0" borderId="5" xfId="0" applyFont="1" applyFill="1" applyBorder="1" applyProtection="1"/>
    <xf numFmtId="0" fontId="18" fillId="0" borderId="1" xfId="0" applyFont="1" applyFill="1" applyBorder="1" applyProtection="1"/>
    <xf numFmtId="0" fontId="18" fillId="0" borderId="6" xfId="0" applyFont="1" applyFill="1" applyBorder="1" applyProtection="1"/>
    <xf numFmtId="0" fontId="18" fillId="0" borderId="7" xfId="0" applyFont="1" applyFill="1" applyBorder="1" applyProtection="1"/>
    <xf numFmtId="0" fontId="18" fillId="0" borderId="8" xfId="0" applyFont="1" applyFill="1" applyBorder="1" applyProtection="1"/>
    <xf numFmtId="10" fontId="18" fillId="0" borderId="8" xfId="0" applyNumberFormat="1" applyFont="1" applyFill="1" applyBorder="1" applyProtection="1"/>
    <xf numFmtId="0" fontId="18" fillId="0" borderId="0" xfId="0" applyFont="1" applyFill="1" applyProtection="1"/>
    <xf numFmtId="164" fontId="18" fillId="0" borderId="0" xfId="1" applyNumberFormat="1" applyFont="1" applyFill="1" applyProtection="1"/>
    <xf numFmtId="165" fontId="18" fillId="0" borderId="0" xfId="2" applyNumberFormat="1" applyFont="1" applyFill="1" applyProtection="1"/>
    <xf numFmtId="0" fontId="2" fillId="0" borderId="63" xfId="0" applyFont="1" applyBorder="1" applyProtection="1"/>
    <xf numFmtId="164" fontId="2" fillId="0" borderId="63" xfId="1" applyNumberFormat="1" applyFont="1" applyBorder="1" applyProtection="1"/>
    <xf numFmtId="165" fontId="2" fillId="0" borderId="63" xfId="2" applyNumberFormat="1" applyFont="1" applyBorder="1" applyProtection="1"/>
    <xf numFmtId="164" fontId="2" fillId="0" borderId="67" xfId="1" applyNumberFormat="1" applyFont="1" applyBorder="1" applyProtection="1"/>
    <xf numFmtId="164" fontId="2" fillId="0" borderId="65" xfId="1" applyNumberFormat="1" applyFont="1" applyBorder="1" applyProtection="1"/>
    <xf numFmtId="0" fontId="2" fillId="0" borderId="68" xfId="0" applyFont="1" applyBorder="1" applyProtection="1"/>
    <xf numFmtId="165" fontId="2" fillId="0" borderId="68" xfId="2" applyNumberFormat="1" applyFont="1" applyBorder="1" applyProtection="1"/>
    <xf numFmtId="164" fontId="2" fillId="0" borderId="68" xfId="1" applyNumberFormat="1" applyFont="1" applyBorder="1" applyProtection="1"/>
    <xf numFmtId="164" fontId="2" fillId="0" borderId="56" xfId="1" applyNumberFormat="1" applyFont="1" applyBorder="1" applyProtection="1"/>
    <xf numFmtId="164" fontId="5" fillId="0" borderId="68" xfId="1" applyNumberFormat="1" applyFont="1" applyBorder="1" applyProtection="1"/>
    <xf numFmtId="165" fontId="6" fillId="0" borderId="68" xfId="2" applyNumberFormat="1" applyFont="1" applyBorder="1" applyProtection="1"/>
    <xf numFmtId="164" fontId="5" fillId="0" borderId="56" xfId="1" applyNumberFormat="1" applyFont="1" applyBorder="1" applyProtection="1"/>
    <xf numFmtId="164" fontId="18" fillId="0" borderId="68" xfId="1" applyNumberFormat="1" applyFont="1" applyBorder="1" applyProtection="1"/>
    <xf numFmtId="165" fontId="18" fillId="0" borderId="68" xfId="2" applyNumberFormat="1" applyFont="1" applyBorder="1" applyProtection="1"/>
    <xf numFmtId="164" fontId="18" fillId="0" borderId="56" xfId="1" applyNumberFormat="1" applyFont="1" applyBorder="1" applyProtection="1"/>
    <xf numFmtId="0" fontId="23" fillId="0" borderId="0" xfId="0" applyFont="1" applyAlignment="1" applyProtection="1">
      <alignment horizontal="center" vertical="center" wrapText="1"/>
    </xf>
    <xf numFmtId="164" fontId="23" fillId="0" borderId="0" xfId="1" applyNumberFormat="1" applyFont="1" applyAlignment="1" applyProtection="1">
      <alignment horizontal="center" vertical="center" wrapText="1"/>
    </xf>
    <xf numFmtId="169" fontId="23" fillId="0" borderId="0" xfId="1" applyNumberFormat="1" applyFont="1" applyAlignment="1" applyProtection="1">
      <alignment horizontal="center" vertical="center" wrapText="1"/>
    </xf>
    <xf numFmtId="164" fontId="23" fillId="0" borderId="0" xfId="1" applyNumberFormat="1" applyFont="1" applyAlignment="1" applyProtection="1">
      <alignment horizontal="center" vertical="center"/>
    </xf>
    <xf numFmtId="0" fontId="0" fillId="0" borderId="0" xfId="0" applyAlignment="1" applyProtection="1">
      <alignment wrapText="1"/>
    </xf>
    <xf numFmtId="164" fontId="0" fillId="0" borderId="0" xfId="1" applyNumberFormat="1" applyFont="1" applyProtection="1"/>
    <xf numFmtId="164" fontId="23" fillId="0" borderId="0" xfId="1" applyNumberFormat="1" applyFont="1" applyProtection="1"/>
    <xf numFmtId="0" fontId="23" fillId="0" borderId="0" xfId="0" applyFont="1" applyAlignment="1" applyProtection="1">
      <alignment wrapText="1"/>
    </xf>
    <xf numFmtId="164" fontId="24" fillId="0" borderId="0" xfId="1" applyNumberFormat="1" applyFont="1" applyProtection="1"/>
    <xf numFmtId="0" fontId="0" fillId="12" borderId="38" xfId="0" applyFill="1" applyBorder="1" applyProtection="1"/>
    <xf numFmtId="0" fontId="0" fillId="12" borderId="46" xfId="0" applyFill="1" applyBorder="1" applyProtection="1"/>
    <xf numFmtId="0" fontId="0" fillId="12" borderId="47" xfId="0" applyFill="1" applyBorder="1" applyProtection="1"/>
    <xf numFmtId="0" fontId="0" fillId="12" borderId="40" xfId="0" applyFill="1" applyBorder="1" applyProtection="1"/>
    <xf numFmtId="0" fontId="0" fillId="12" borderId="0" xfId="0" applyFill="1" applyBorder="1" applyProtection="1"/>
    <xf numFmtId="0" fontId="0" fillId="12" borderId="49" xfId="0" applyFill="1" applyBorder="1" applyProtection="1"/>
    <xf numFmtId="0" fontId="0" fillId="12" borderId="49" xfId="0" applyFill="1" applyBorder="1" applyAlignment="1" applyProtection="1">
      <alignment horizontal="center"/>
    </xf>
    <xf numFmtId="0" fontId="0" fillId="12" borderId="39" xfId="0" applyFill="1" applyBorder="1" applyProtection="1"/>
    <xf numFmtId="0" fontId="0" fillId="12" borderId="45" xfId="0" applyFill="1" applyBorder="1" applyProtection="1"/>
    <xf numFmtId="0" fontId="0" fillId="12" borderId="48" xfId="0" applyFill="1" applyBorder="1" applyProtection="1"/>
    <xf numFmtId="10" fontId="17" fillId="0" borderId="0" xfId="0" applyNumberFormat="1" applyFont="1" applyProtection="1"/>
    <xf numFmtId="164" fontId="2" fillId="0" borderId="0" xfId="1" applyNumberFormat="1" applyFont="1"/>
    <xf numFmtId="164" fontId="0" fillId="0" borderId="0" xfId="1" applyNumberFormat="1" applyFont="1" applyAlignment="1" applyProtection="1">
      <alignment wrapText="1"/>
    </xf>
    <xf numFmtId="0" fontId="23" fillId="0" borderId="0" xfId="0" applyFont="1" applyProtection="1"/>
    <xf numFmtId="0" fontId="0" fillId="0" borderId="0" xfId="0" applyBorder="1" applyProtection="1"/>
    <xf numFmtId="164" fontId="0" fillId="0" borderId="0" xfId="1" applyNumberFormat="1" applyFont="1" applyBorder="1" applyAlignment="1" applyProtection="1">
      <alignment wrapText="1"/>
    </xf>
    <xf numFmtId="10" fontId="0" fillId="0" borderId="0" xfId="2" applyNumberFormat="1" applyFont="1" applyBorder="1" applyProtection="1"/>
    <xf numFmtId="164" fontId="0" fillId="0" borderId="0" xfId="1" applyNumberFormat="1" applyFont="1" applyBorder="1" applyProtection="1"/>
    <xf numFmtId="165" fontId="3" fillId="0" borderId="50" xfId="2" applyNumberFormat="1" applyFont="1" applyFill="1" applyBorder="1" applyProtection="1">
      <protection locked="0"/>
    </xf>
    <xf numFmtId="0" fontId="5" fillId="0" borderId="0" xfId="0" applyFont="1" applyFill="1" applyBorder="1" applyAlignment="1" applyProtection="1">
      <alignment horizontal="center"/>
    </xf>
    <xf numFmtId="0" fontId="5" fillId="13" borderId="47" xfId="0" applyFont="1" applyFill="1" applyBorder="1" applyAlignment="1" applyProtection="1">
      <alignment horizontal="center"/>
    </xf>
    <xf numFmtId="9" fontId="5" fillId="13" borderId="49" xfId="2" applyFont="1" applyFill="1" applyBorder="1" applyAlignment="1" applyProtection="1">
      <alignment horizontal="center"/>
    </xf>
    <xf numFmtId="9" fontId="5" fillId="13" borderId="48" xfId="2" applyFont="1" applyFill="1" applyBorder="1" applyAlignment="1" applyProtection="1">
      <alignment horizontal="center"/>
    </xf>
    <xf numFmtId="9" fontId="5" fillId="11" borderId="0" xfId="2" applyFont="1" applyFill="1" applyBorder="1" applyAlignment="1" applyProtection="1">
      <alignment horizontal="center"/>
    </xf>
    <xf numFmtId="164" fontId="27" fillId="0" borderId="0" xfId="1" applyNumberFormat="1" applyFont="1" applyProtection="1"/>
    <xf numFmtId="164" fontId="6" fillId="11" borderId="0" xfId="1" applyNumberFormat="1" applyFont="1" applyFill="1" applyBorder="1" applyAlignment="1" applyProtection="1">
      <alignment horizontal="center"/>
    </xf>
    <xf numFmtId="9" fontId="22" fillId="0" borderId="50" xfId="2" applyFont="1" applyBorder="1" applyProtection="1"/>
    <xf numFmtId="0" fontId="5" fillId="11" borderId="0" xfId="0" applyFont="1" applyFill="1" applyBorder="1" applyAlignment="1" applyProtection="1">
      <alignment horizontal="left"/>
    </xf>
    <xf numFmtId="0" fontId="10" fillId="14" borderId="0" xfId="0" applyFont="1" applyFill="1" applyBorder="1" applyAlignment="1" applyProtection="1">
      <alignment horizontal="left"/>
    </xf>
    <xf numFmtId="164" fontId="10" fillId="14" borderId="0" xfId="1" applyNumberFormat="1" applyFont="1" applyFill="1" applyBorder="1" applyAlignment="1" applyProtection="1">
      <alignment horizontal="center"/>
    </xf>
    <xf numFmtId="9" fontId="10" fillId="14" borderId="0" xfId="2" applyFont="1" applyFill="1" applyBorder="1" applyAlignment="1" applyProtection="1">
      <alignment horizontal="center"/>
    </xf>
    <xf numFmtId="164" fontId="5" fillId="0" borderId="1" xfId="1" applyNumberFormat="1" applyFont="1" applyBorder="1" applyAlignment="1" applyProtection="1">
      <alignment horizontal="center"/>
    </xf>
    <xf numFmtId="0" fontId="9" fillId="0" borderId="0" xfId="0" applyFont="1" applyAlignment="1" applyProtection="1">
      <alignment horizontal="center"/>
    </xf>
    <xf numFmtId="164" fontId="6" fillId="0" borderId="0" xfId="1" applyNumberFormat="1" applyFont="1" applyBorder="1" applyProtection="1"/>
    <xf numFmtId="9" fontId="6" fillId="0" borderId="0" xfId="2" applyFont="1" applyBorder="1" applyProtection="1"/>
    <xf numFmtId="0" fontId="10" fillId="14" borderId="0" xfId="0" applyFont="1" applyFill="1" applyBorder="1" applyAlignment="1" applyProtection="1">
      <alignment horizontal="center"/>
    </xf>
    <xf numFmtId="1" fontId="22" fillId="0" borderId="0" xfId="2" applyNumberFormat="1" applyFont="1" applyProtection="1"/>
    <xf numFmtId="0" fontId="2" fillId="10" borderId="36" xfId="0" applyFont="1" applyFill="1" applyBorder="1" applyAlignment="1" applyProtection="1">
      <alignment horizontal="center"/>
    </xf>
    <xf numFmtId="164" fontId="2" fillId="10" borderId="36" xfId="1" applyNumberFormat="1" applyFont="1" applyFill="1" applyBorder="1" applyAlignment="1" applyProtection="1">
      <alignment horizontal="center"/>
    </xf>
    <xf numFmtId="0" fontId="5" fillId="11" borderId="39" xfId="0" applyFont="1" applyFill="1" applyBorder="1" applyAlignment="1" applyProtection="1">
      <alignment horizontal="left"/>
    </xf>
    <xf numFmtId="0" fontId="5" fillId="11" borderId="0" xfId="1" applyNumberFormat="1" applyFont="1" applyFill="1" applyBorder="1" applyAlignment="1" applyProtection="1">
      <alignment horizontal="center"/>
    </xf>
    <xf numFmtId="0" fontId="5" fillId="11" borderId="45" xfId="1" applyNumberFormat="1" applyFont="1" applyFill="1" applyBorder="1" applyAlignment="1" applyProtection="1">
      <alignment horizontal="center"/>
    </xf>
    <xf numFmtId="0" fontId="5" fillId="2" borderId="38" xfId="0" applyFont="1" applyFill="1" applyBorder="1" applyAlignment="1" applyProtection="1">
      <alignment horizontal="right"/>
    </xf>
    <xf numFmtId="0" fontId="5" fillId="2" borderId="46" xfId="1" applyNumberFormat="1" applyFont="1" applyFill="1" applyBorder="1" applyAlignment="1" applyProtection="1">
      <alignment horizontal="center"/>
    </xf>
    <xf numFmtId="164" fontId="5" fillId="11" borderId="46" xfId="1" applyNumberFormat="1" applyFont="1" applyFill="1" applyBorder="1" applyAlignment="1" applyProtection="1">
      <alignment horizontal="left"/>
    </xf>
    <xf numFmtId="0" fontId="6" fillId="11" borderId="0" xfId="0" applyFont="1" applyFill="1" applyBorder="1" applyAlignment="1" applyProtection="1">
      <alignment horizontal="left"/>
    </xf>
    <xf numFmtId="9" fontId="6" fillId="11" borderId="0" xfId="2" applyFont="1" applyFill="1" applyBorder="1" applyAlignment="1" applyProtection="1">
      <alignment horizontal="center"/>
    </xf>
    <xf numFmtId="0" fontId="15" fillId="11" borderId="0" xfId="0" applyFont="1" applyFill="1" applyBorder="1" applyAlignment="1" applyProtection="1">
      <alignment horizontal="right"/>
    </xf>
    <xf numFmtId="9" fontId="5" fillId="0" borderId="0" xfId="2" applyFont="1" applyBorder="1" applyProtection="1"/>
    <xf numFmtId="0" fontId="5" fillId="14" borderId="0" xfId="0" applyFont="1" applyFill="1" applyBorder="1" applyProtection="1"/>
    <xf numFmtId="165" fontId="6" fillId="14" borderId="0" xfId="2" applyNumberFormat="1" applyFont="1" applyFill="1" applyBorder="1" applyProtection="1"/>
    <xf numFmtId="0" fontId="6" fillId="14" borderId="0" xfId="2" applyNumberFormat="1" applyFont="1" applyFill="1" applyBorder="1" applyProtection="1"/>
    <xf numFmtId="0" fontId="2" fillId="10" borderId="57" xfId="0" applyFont="1" applyFill="1" applyBorder="1" applyAlignment="1" applyProtection="1">
      <alignment vertical="top" wrapText="1"/>
    </xf>
    <xf numFmtId="0" fontId="2" fillId="10" borderId="33" xfId="0" applyFont="1" applyFill="1" applyBorder="1" applyAlignment="1" applyProtection="1">
      <alignment horizontal="center" vertical="center" wrapText="1"/>
    </xf>
    <xf numFmtId="0" fontId="2" fillId="10" borderId="41" xfId="0" applyFont="1" applyFill="1" applyBorder="1" applyAlignment="1" applyProtection="1">
      <alignment horizontal="right" vertical="top" wrapText="1"/>
    </xf>
    <xf numFmtId="0" fontId="2" fillId="15" borderId="7" xfId="0" applyFont="1" applyFill="1" applyBorder="1" applyAlignment="1" applyProtection="1">
      <alignment wrapText="1"/>
    </xf>
    <xf numFmtId="0" fontId="2" fillId="0" borderId="0" xfId="0" applyFont="1" applyFill="1" applyBorder="1" applyAlignment="1" applyProtection="1"/>
    <xf numFmtId="0" fontId="4" fillId="0" borderId="0" xfId="0" applyFont="1" applyFill="1" applyBorder="1" applyAlignment="1" applyProtection="1">
      <alignment wrapText="1"/>
    </xf>
    <xf numFmtId="0" fontId="2" fillId="0" borderId="0" xfId="0" applyFont="1" applyFill="1" applyBorder="1" applyAlignment="1" applyProtection="1">
      <alignment wrapText="1"/>
    </xf>
    <xf numFmtId="0" fontId="3" fillId="0" borderId="0" xfId="0" applyFont="1" applyFill="1" applyBorder="1" applyProtection="1"/>
    <xf numFmtId="0" fontId="2" fillId="15" borderId="1" xfId="0" applyFont="1" applyFill="1" applyBorder="1" applyAlignment="1" applyProtection="1">
      <alignment horizontal="center" wrapText="1"/>
    </xf>
    <xf numFmtId="0" fontId="2" fillId="15" borderId="1" xfId="0" applyFont="1" applyFill="1" applyBorder="1" applyAlignment="1" applyProtection="1">
      <alignment wrapText="1"/>
    </xf>
    <xf numFmtId="164" fontId="2" fillId="15" borderId="1" xfId="1" applyNumberFormat="1" applyFont="1" applyFill="1" applyBorder="1" applyAlignment="1" applyProtection="1">
      <alignment wrapText="1"/>
    </xf>
    <xf numFmtId="9" fontId="2" fillId="15" borderId="1" xfId="2" applyFont="1" applyFill="1" applyBorder="1" applyAlignment="1" applyProtection="1">
      <alignment wrapText="1"/>
    </xf>
    <xf numFmtId="164" fontId="3" fillId="15" borderId="1" xfId="1" applyNumberFormat="1" applyFont="1" applyFill="1" applyBorder="1" applyAlignment="1" applyProtection="1">
      <alignment wrapText="1"/>
    </xf>
    <xf numFmtId="9" fontId="3" fillId="15" borderId="1" xfId="2" applyFont="1" applyFill="1" applyBorder="1" applyAlignment="1" applyProtection="1">
      <alignment wrapText="1"/>
    </xf>
    <xf numFmtId="165" fontId="3" fillId="0" borderId="0" xfId="2" applyNumberFormat="1" applyFont="1" applyFill="1" applyBorder="1" applyProtection="1">
      <protection locked="0"/>
    </xf>
    <xf numFmtId="164" fontId="2" fillId="0" borderId="0" xfId="1" applyNumberFormat="1" applyFont="1" applyFill="1" applyBorder="1" applyAlignment="1" applyProtection="1">
      <alignment horizontal="left" wrapText="1"/>
    </xf>
    <xf numFmtId="9" fontId="3" fillId="0" borderId="0" xfId="2" applyFont="1" applyFill="1" applyBorder="1" applyProtection="1"/>
    <xf numFmtId="164" fontId="5" fillId="16" borderId="1" xfId="1" applyNumberFormat="1" applyFont="1" applyFill="1" applyBorder="1" applyAlignment="1" applyProtection="1">
      <alignment horizontal="right"/>
    </xf>
    <xf numFmtId="164" fontId="5" fillId="16" borderId="1" xfId="1" applyNumberFormat="1" applyFont="1" applyFill="1" applyBorder="1" applyAlignment="1" applyProtection="1">
      <alignment horizontal="center"/>
    </xf>
    <xf numFmtId="0" fontId="10" fillId="14" borderId="0" xfId="1" applyNumberFormat="1" applyFont="1" applyFill="1" applyBorder="1" applyProtection="1"/>
    <xf numFmtId="0" fontId="3" fillId="0" borderId="31" xfId="0" applyFont="1" applyBorder="1" applyAlignment="1" applyProtection="1">
      <alignment wrapText="1"/>
      <protection locked="0"/>
    </xf>
    <xf numFmtId="9" fontId="6" fillId="0" borderId="24" xfId="2" applyFont="1" applyFill="1" applyBorder="1" applyProtection="1">
      <protection locked="0"/>
    </xf>
    <xf numFmtId="164" fontId="3" fillId="0" borderId="24" xfId="1" applyNumberFormat="1" applyFont="1" applyBorder="1" applyProtection="1">
      <protection locked="0"/>
    </xf>
    <xf numFmtId="9" fontId="3" fillId="0" borderId="32" xfId="2" applyFont="1" applyBorder="1" applyProtection="1">
      <protection locked="0"/>
    </xf>
    <xf numFmtId="9" fontId="5" fillId="9" borderId="0" xfId="0" applyNumberFormat="1" applyFont="1" applyFill="1" applyProtection="1"/>
    <xf numFmtId="0" fontId="2" fillId="15" borderId="2" xfId="0" applyFont="1" applyFill="1" applyBorder="1" applyAlignment="1" applyProtection="1">
      <alignment wrapText="1"/>
      <protection locked="0"/>
    </xf>
    <xf numFmtId="16" fontId="5" fillId="15" borderId="3" xfId="0" applyNumberFormat="1" applyFont="1" applyFill="1" applyBorder="1" applyProtection="1">
      <protection locked="0"/>
    </xf>
    <xf numFmtId="9" fontId="5" fillId="15" borderId="3" xfId="2" applyFont="1" applyFill="1" applyBorder="1" applyProtection="1">
      <protection locked="0"/>
    </xf>
    <xf numFmtId="164" fontId="2" fillId="15" borderId="3" xfId="1" applyNumberFormat="1" applyFont="1" applyFill="1" applyBorder="1" applyProtection="1">
      <protection locked="0"/>
    </xf>
    <xf numFmtId="9" fontId="2" fillId="15" borderId="4" xfId="2" applyFont="1" applyFill="1" applyBorder="1" applyProtection="1">
      <protection locked="0"/>
    </xf>
    <xf numFmtId="16" fontId="6" fillId="15" borderId="1" xfId="0" applyNumberFormat="1" applyFont="1" applyFill="1" applyBorder="1" applyProtection="1">
      <protection locked="0"/>
    </xf>
    <xf numFmtId="9" fontId="6" fillId="15" borderId="1" xfId="2" applyFont="1" applyFill="1" applyBorder="1" applyProtection="1">
      <protection locked="0"/>
    </xf>
    <xf numFmtId="164" fontId="3" fillId="15" borderId="1" xfId="1" applyNumberFormat="1" applyFont="1" applyFill="1" applyBorder="1" applyProtection="1">
      <protection locked="0"/>
    </xf>
    <xf numFmtId="9" fontId="3" fillId="15" borderId="6" xfId="2" applyFont="1" applyFill="1" applyBorder="1" applyProtection="1">
      <protection locked="0"/>
    </xf>
    <xf numFmtId="0" fontId="2" fillId="15" borderId="5" xfId="0" applyFont="1" applyFill="1" applyBorder="1" applyAlignment="1" applyProtection="1">
      <alignment wrapText="1"/>
      <protection locked="0"/>
    </xf>
    <xf numFmtId="16" fontId="6" fillId="15" borderId="24" xfId="0" applyNumberFormat="1" applyFont="1" applyFill="1" applyBorder="1" applyProtection="1">
      <protection locked="0"/>
    </xf>
    <xf numFmtId="9" fontId="6" fillId="15" borderId="24" xfId="2" applyFont="1" applyFill="1" applyBorder="1" applyProtection="1">
      <protection locked="0"/>
    </xf>
    <xf numFmtId="164" fontId="3" fillId="15" borderId="24" xfId="1" applyNumberFormat="1" applyFont="1" applyFill="1" applyBorder="1" applyProtection="1">
      <protection locked="0"/>
    </xf>
    <xf numFmtId="9" fontId="3" fillId="15" borderId="32" xfId="2" applyFont="1" applyFill="1" applyBorder="1" applyProtection="1">
      <protection locked="0"/>
    </xf>
    <xf numFmtId="0" fontId="2" fillId="15" borderId="31" xfId="0" applyFont="1" applyFill="1" applyBorder="1" applyAlignment="1" applyProtection="1">
      <alignment wrapText="1"/>
      <protection locked="0"/>
    </xf>
    <xf numFmtId="16" fontId="5" fillId="15" borderId="24" xfId="0" applyNumberFormat="1" applyFont="1" applyFill="1" applyBorder="1" applyProtection="1">
      <protection locked="0"/>
    </xf>
    <xf numFmtId="9" fontId="5" fillId="15" borderId="24" xfId="2" applyFont="1" applyFill="1" applyBorder="1" applyProtection="1">
      <protection locked="0"/>
    </xf>
    <xf numFmtId="164" fontId="2" fillId="15" borderId="24" xfId="1" applyNumberFormat="1" applyFont="1" applyFill="1" applyBorder="1" applyProtection="1">
      <protection locked="0"/>
    </xf>
    <xf numFmtId="9" fontId="2" fillId="15" borderId="32" xfId="2" applyFont="1" applyFill="1" applyBorder="1" applyProtection="1">
      <protection locked="0"/>
    </xf>
    <xf numFmtId="169" fontId="5" fillId="0" borderId="1" xfId="0" applyNumberFormat="1" applyFont="1" applyFill="1" applyBorder="1" applyProtection="1">
      <protection locked="0"/>
    </xf>
    <xf numFmtId="164" fontId="6" fillId="0" borderId="0" xfId="0" applyNumberFormat="1" applyFont="1" applyProtection="1"/>
    <xf numFmtId="0" fontId="5" fillId="0" borderId="31" xfId="0" applyFont="1" applyBorder="1" applyAlignment="1" applyProtection="1">
      <alignment horizontal="center" wrapText="1"/>
    </xf>
    <xf numFmtId="0" fontId="5" fillId="0" borderId="24" xfId="0" applyFont="1" applyBorder="1" applyAlignment="1" applyProtection="1">
      <alignment horizontal="center"/>
    </xf>
    <xf numFmtId="9" fontId="5" fillId="0" borderId="24" xfId="2" applyFont="1" applyBorder="1" applyAlignment="1" applyProtection="1">
      <alignment horizontal="center"/>
    </xf>
    <xf numFmtId="164" fontId="5" fillId="0" borderId="24" xfId="1" applyNumberFormat="1" applyFont="1" applyBorder="1" applyAlignment="1" applyProtection="1">
      <alignment horizontal="center"/>
    </xf>
    <xf numFmtId="165" fontId="5" fillId="0" borderId="32" xfId="2" applyNumberFormat="1" applyFont="1" applyBorder="1" applyAlignment="1" applyProtection="1">
      <alignment horizontal="center"/>
    </xf>
    <xf numFmtId="9" fontId="5" fillId="0" borderId="0" xfId="0" applyNumberFormat="1" applyFont="1" applyFill="1" applyProtection="1"/>
    <xf numFmtId="0" fontId="6" fillId="0" borderId="0" xfId="0" applyFont="1" applyFill="1" applyAlignment="1" applyProtection="1">
      <alignment wrapText="1"/>
    </xf>
    <xf numFmtId="169" fontId="6" fillId="0" borderId="0" xfId="0" applyNumberFormat="1" applyFont="1" applyFill="1" applyProtection="1"/>
    <xf numFmtId="165" fontId="6" fillId="0" borderId="0" xfId="2" applyNumberFormat="1" applyFont="1" applyFill="1" applyProtection="1"/>
    <xf numFmtId="9" fontId="6" fillId="0" borderId="0" xfId="2" applyFont="1" applyFill="1" applyProtection="1"/>
    <xf numFmtId="43" fontId="5" fillId="0" borderId="63" xfId="1" applyFont="1" applyBorder="1" applyProtection="1"/>
    <xf numFmtId="9" fontId="5" fillId="0" borderId="63" xfId="0" applyNumberFormat="1" applyFont="1" applyBorder="1" applyProtection="1"/>
    <xf numFmtId="0" fontId="2" fillId="10" borderId="37" xfId="0" applyFont="1" applyFill="1" applyBorder="1" applyAlignment="1" applyProtection="1">
      <alignment horizontal="center" wrapText="1"/>
    </xf>
    <xf numFmtId="164" fontId="2" fillId="10" borderId="2" xfId="1" applyNumberFormat="1" applyFont="1" applyFill="1" applyBorder="1" applyAlignment="1" applyProtection="1">
      <alignment horizontal="center"/>
    </xf>
    <xf numFmtId="164" fontId="2" fillId="10" borderId="4" xfId="1" applyNumberFormat="1" applyFont="1" applyFill="1" applyBorder="1" applyAlignment="1" applyProtection="1">
      <alignment horizontal="center"/>
    </xf>
    <xf numFmtId="0" fontId="2" fillId="10" borderId="57" xfId="0" applyFont="1" applyFill="1" applyBorder="1" applyAlignment="1" applyProtection="1">
      <alignment horizontal="center"/>
    </xf>
    <xf numFmtId="0" fontId="2" fillId="10" borderId="58" xfId="0" applyFont="1" applyFill="1" applyBorder="1" applyAlignment="1" applyProtection="1">
      <alignment horizontal="center"/>
    </xf>
    <xf numFmtId="0" fontId="2" fillId="10" borderId="60" xfId="0" applyFont="1" applyFill="1" applyBorder="1" applyAlignment="1" applyProtection="1">
      <alignment horizontal="center"/>
    </xf>
    <xf numFmtId="0" fontId="2" fillId="10" borderId="9" xfId="0" applyFont="1" applyFill="1" applyBorder="1" applyAlignment="1" applyProtection="1">
      <alignment horizontal="center"/>
    </xf>
    <xf numFmtId="164" fontId="3" fillId="15" borderId="1" xfId="1" applyNumberFormat="1" applyFont="1" applyFill="1" applyBorder="1" applyProtection="1"/>
    <xf numFmtId="164" fontId="2" fillId="15" borderId="8" xfId="1" applyNumberFormat="1" applyFont="1" applyFill="1" applyBorder="1" applyProtection="1"/>
    <xf numFmtId="9" fontId="2" fillId="15" borderId="8" xfId="2" applyFont="1" applyFill="1" applyBorder="1" applyProtection="1"/>
    <xf numFmtId="164" fontId="2" fillId="15" borderId="27" xfId="1" applyNumberFormat="1" applyFont="1" applyFill="1" applyBorder="1" applyProtection="1">
      <protection locked="0"/>
    </xf>
    <xf numFmtId="164" fontId="3" fillId="15" borderId="19" xfId="1" applyNumberFormat="1" applyFont="1" applyFill="1" applyBorder="1" applyProtection="1">
      <protection locked="0"/>
    </xf>
    <xf numFmtId="164" fontId="2" fillId="15" borderId="25" xfId="1" applyNumberFormat="1" applyFont="1" applyFill="1" applyBorder="1" applyProtection="1">
      <protection locked="0"/>
    </xf>
    <xf numFmtId="164" fontId="2" fillId="15" borderId="8" xfId="2" applyNumberFormat="1" applyFont="1" applyFill="1" applyBorder="1" applyProtection="1"/>
    <xf numFmtId="165" fontId="2" fillId="15" borderId="8" xfId="2" applyNumberFormat="1" applyFont="1" applyFill="1" applyBorder="1" applyProtection="1"/>
    <xf numFmtId="10" fontId="2" fillId="15" borderId="8" xfId="2" applyNumberFormat="1" applyFont="1" applyFill="1" applyBorder="1" applyProtection="1"/>
    <xf numFmtId="0" fontId="2" fillId="15" borderId="0" xfId="0" applyFont="1" applyFill="1" applyBorder="1" applyAlignment="1" applyProtection="1">
      <alignment horizontal="center" wrapText="1"/>
    </xf>
    <xf numFmtId="9" fontId="3" fillId="15" borderId="0" xfId="2" applyFont="1" applyFill="1" applyBorder="1" applyProtection="1"/>
    <xf numFmtId="164" fontId="2" fillId="15" borderId="0" xfId="1" applyNumberFormat="1" applyFont="1" applyFill="1" applyBorder="1" applyProtection="1"/>
    <xf numFmtId="165" fontId="6" fillId="11" borderId="0" xfId="2" applyNumberFormat="1" applyFont="1" applyFill="1" applyBorder="1" applyAlignment="1" applyProtection="1">
      <alignment horizontal="right"/>
    </xf>
    <xf numFmtId="165" fontId="6" fillId="0" borderId="0" xfId="2" applyNumberFormat="1" applyFont="1" applyBorder="1" applyProtection="1"/>
    <xf numFmtId="165" fontId="3" fillId="15" borderId="1" xfId="2" applyNumberFormat="1" applyFont="1" applyFill="1" applyBorder="1" applyProtection="1"/>
    <xf numFmtId="0" fontId="3" fillId="15" borderId="1" xfId="0" applyFont="1" applyFill="1" applyBorder="1" applyProtection="1"/>
    <xf numFmtId="164" fontId="22" fillId="0" borderId="0" xfId="1" applyNumberFormat="1" applyFont="1" applyAlignment="1" applyProtection="1">
      <alignment vertical="top"/>
    </xf>
    <xf numFmtId="164" fontId="5" fillId="0" borderId="46" xfId="1" applyNumberFormat="1" applyFont="1" applyBorder="1" applyAlignment="1" applyProtection="1">
      <alignment horizontal="center" vertical="top"/>
    </xf>
    <xf numFmtId="164" fontId="5" fillId="0" borderId="47" xfId="1" applyNumberFormat="1" applyFont="1" applyBorder="1" applyAlignment="1" applyProtection="1">
      <alignment horizontal="center" vertical="top"/>
    </xf>
    <xf numFmtId="164" fontId="5" fillId="0" borderId="45" xfId="1" applyNumberFormat="1" applyFont="1" applyBorder="1" applyAlignment="1" applyProtection="1">
      <alignment horizontal="center" vertical="top" wrapText="1"/>
    </xf>
    <xf numFmtId="164" fontId="5" fillId="0" borderId="48" xfId="1" applyNumberFormat="1" applyFont="1" applyBorder="1" applyAlignment="1" applyProtection="1">
      <alignment horizontal="center" vertical="top" wrapText="1"/>
    </xf>
    <xf numFmtId="164" fontId="22" fillId="0" borderId="29" xfId="1" applyNumberFormat="1" applyFont="1" applyBorder="1" applyAlignment="1" applyProtection="1">
      <alignment vertical="top"/>
    </xf>
    <xf numFmtId="164" fontId="22" fillId="0" borderId="30" xfId="1" applyNumberFormat="1" applyFont="1" applyBorder="1" applyAlignment="1" applyProtection="1">
      <alignment vertical="top"/>
    </xf>
    <xf numFmtId="164" fontId="27" fillId="0" borderId="63" xfId="1" applyNumberFormat="1" applyFont="1" applyBorder="1" applyAlignment="1" applyProtection="1">
      <alignment vertical="top"/>
    </xf>
    <xf numFmtId="164" fontId="27" fillId="0" borderId="0" xfId="1" applyNumberFormat="1" applyFont="1" applyAlignment="1" applyProtection="1">
      <alignment vertical="top"/>
    </xf>
    <xf numFmtId="164" fontId="0" fillId="0" borderId="0" xfId="1" applyNumberFormat="1" applyFont="1" applyFill="1"/>
    <xf numFmtId="164" fontId="5" fillId="0" borderId="0" xfId="1" applyNumberFormat="1" applyFont="1" applyFill="1" applyBorder="1" applyAlignment="1" applyProtection="1"/>
    <xf numFmtId="9" fontId="5" fillId="16" borderId="1" xfId="2" applyFont="1" applyFill="1" applyBorder="1" applyAlignment="1" applyProtection="1">
      <alignment horizontal="center"/>
    </xf>
    <xf numFmtId="169" fontId="6" fillId="0" borderId="1" xfId="0" applyNumberFormat="1" applyFont="1" applyFill="1" applyBorder="1" applyProtection="1">
      <protection locked="0"/>
    </xf>
    <xf numFmtId="164" fontId="3" fillId="15" borderId="25" xfId="1" applyNumberFormat="1" applyFont="1" applyFill="1" applyBorder="1" applyProtection="1">
      <protection locked="0"/>
    </xf>
    <xf numFmtId="10" fontId="5" fillId="9" borderId="0" xfId="2" applyNumberFormat="1" applyFont="1" applyFill="1" applyProtection="1"/>
    <xf numFmtId="165" fontId="6" fillId="11" borderId="19" xfId="2" applyNumberFormat="1" applyFont="1" applyFill="1" applyBorder="1" applyAlignment="1" applyProtection="1">
      <alignment horizontal="center" vertical="top" wrapText="1"/>
      <protection locked="0"/>
    </xf>
    <xf numFmtId="0" fontId="0" fillId="0" borderId="0" xfId="0" applyBorder="1" applyAlignment="1" applyProtection="1">
      <alignment wrapText="1"/>
    </xf>
    <xf numFmtId="9" fontId="3" fillId="15" borderId="1" xfId="2" applyFont="1" applyFill="1" applyBorder="1" applyProtection="1"/>
    <xf numFmtId="0" fontId="2" fillId="15" borderId="1" xfId="0" applyFont="1" applyFill="1" applyBorder="1" applyAlignment="1" applyProtection="1">
      <alignment horizontal="center" wrapText="1"/>
      <protection locked="0"/>
    </xf>
    <xf numFmtId="0" fontId="2" fillId="15" borderId="6" xfId="0" applyFont="1" applyFill="1" applyBorder="1" applyAlignment="1" applyProtection="1">
      <alignment horizontal="center" wrapText="1"/>
      <protection locked="0"/>
    </xf>
    <xf numFmtId="164" fontId="2" fillId="15" borderId="24" xfId="1" applyNumberFormat="1" applyFont="1" applyFill="1" applyBorder="1" applyAlignment="1" applyProtection="1">
      <alignment horizontal="center" wrapText="1"/>
      <protection locked="0"/>
    </xf>
    <xf numFmtId="0" fontId="2" fillId="15" borderId="24" xfId="0" applyFont="1" applyFill="1" applyBorder="1" applyAlignment="1" applyProtection="1">
      <alignment horizontal="center" wrapText="1"/>
      <protection locked="0"/>
    </xf>
    <xf numFmtId="0" fontId="2" fillId="15" borderId="32" xfId="0" applyFont="1" applyFill="1" applyBorder="1" applyAlignment="1" applyProtection="1">
      <alignment horizontal="center" wrapText="1"/>
      <protection locked="0"/>
    </xf>
    <xf numFmtId="0" fontId="3" fillId="0" borderId="1" xfId="0" applyFont="1" applyFill="1" applyBorder="1" applyProtection="1">
      <protection locked="0"/>
    </xf>
    <xf numFmtId="9" fontId="28" fillId="0" borderId="1" xfId="2" applyFont="1" applyFill="1" applyBorder="1" applyProtection="1">
      <protection locked="0"/>
    </xf>
    <xf numFmtId="9" fontId="3" fillId="0" borderId="1" xfId="2" applyFont="1" applyFill="1" applyBorder="1" applyProtection="1">
      <protection locked="0"/>
    </xf>
    <xf numFmtId="0" fontId="2" fillId="15" borderId="33" xfId="0" applyFont="1" applyFill="1" applyBorder="1" applyAlignment="1" applyProtection="1">
      <alignment horizontal="center" vertical="center" wrapText="1"/>
      <protection locked="0"/>
    </xf>
    <xf numFmtId="0" fontId="2" fillId="15" borderId="3" xfId="0" applyFont="1" applyFill="1" applyBorder="1" applyAlignment="1" applyProtection="1">
      <alignment horizontal="center"/>
      <protection locked="0"/>
    </xf>
    <xf numFmtId="0" fontId="2" fillId="15" borderId="27" xfId="0" applyFont="1" applyFill="1" applyBorder="1" applyAlignment="1" applyProtection="1">
      <alignment horizontal="center"/>
      <protection locked="0"/>
    </xf>
    <xf numFmtId="0" fontId="2" fillId="15" borderId="57" xfId="0" applyFont="1" applyFill="1" applyBorder="1" applyAlignment="1" applyProtection="1">
      <alignment vertical="top" wrapText="1"/>
      <protection locked="0"/>
    </xf>
    <xf numFmtId="0" fontId="2" fillId="15" borderId="36" xfId="0" applyFont="1" applyFill="1" applyBorder="1" applyAlignment="1" applyProtection="1">
      <alignment horizontal="center"/>
      <protection locked="0"/>
    </xf>
    <xf numFmtId="0" fontId="2" fillId="15" borderId="36" xfId="0" applyFont="1" applyFill="1" applyBorder="1" applyAlignment="1" applyProtection="1">
      <alignment horizontal="center" wrapText="1"/>
      <protection locked="0"/>
    </xf>
    <xf numFmtId="0" fontId="2" fillId="15" borderId="57" xfId="0" applyFont="1" applyFill="1" applyBorder="1" applyAlignment="1" applyProtection="1">
      <alignment horizontal="right" vertical="top" wrapText="1"/>
      <protection locked="0"/>
    </xf>
    <xf numFmtId="0" fontId="2" fillId="15" borderId="23" xfId="0" applyFont="1" applyFill="1" applyBorder="1" applyAlignment="1" applyProtection="1">
      <alignment horizontal="center" wrapText="1"/>
      <protection locked="0"/>
    </xf>
    <xf numFmtId="169" fontId="6" fillId="0" borderId="0" xfId="0" applyNumberFormat="1" applyFont="1" applyProtection="1"/>
    <xf numFmtId="0" fontId="2" fillId="10" borderId="3" xfId="0" applyFont="1" applyFill="1" applyBorder="1" applyAlignment="1" applyProtection="1">
      <alignment horizontal="center" wrapText="1"/>
    </xf>
    <xf numFmtId="0" fontId="2" fillId="10" borderId="27" xfId="0" applyFont="1" applyFill="1" applyBorder="1" applyAlignment="1" applyProtection="1">
      <alignment horizontal="center" wrapText="1"/>
    </xf>
    <xf numFmtId="0" fontId="2" fillId="10" borderId="51" xfId="0" applyFont="1" applyFill="1" applyBorder="1" applyAlignment="1" applyProtection="1">
      <alignment horizontal="center"/>
    </xf>
    <xf numFmtId="0" fontId="5" fillId="0" borderId="3" xfId="0" applyFont="1" applyBorder="1" applyAlignment="1" applyProtection="1">
      <alignment horizontal="center"/>
    </xf>
    <xf numFmtId="164" fontId="0" fillId="11" borderId="1" xfId="1" applyNumberFormat="1" applyFont="1" applyFill="1" applyBorder="1" applyProtection="1">
      <protection locked="0"/>
    </xf>
    <xf numFmtId="0" fontId="12" fillId="8" borderId="28" xfId="0" applyFont="1" applyFill="1" applyBorder="1" applyAlignment="1">
      <alignment horizontal="center" vertical="center"/>
    </xf>
    <xf numFmtId="0" fontId="12" fillId="8" borderId="30" xfId="0" applyFont="1" applyFill="1" applyBorder="1" applyAlignment="1">
      <alignment horizontal="center" vertical="center"/>
    </xf>
    <xf numFmtId="164" fontId="2" fillId="10" borderId="42" xfId="1" applyNumberFormat="1" applyFont="1" applyFill="1" applyBorder="1" applyAlignment="1" applyProtection="1">
      <alignment horizontal="center"/>
    </xf>
    <xf numFmtId="164" fontId="2" fillId="10" borderId="43" xfId="1" applyNumberFormat="1" applyFont="1" applyFill="1" applyBorder="1" applyAlignment="1" applyProtection="1">
      <alignment horizontal="center"/>
    </xf>
    <xf numFmtId="0" fontId="2" fillId="8" borderId="28" xfId="0" applyFont="1" applyFill="1" applyBorder="1" applyAlignment="1" applyProtection="1">
      <alignment horizontal="center" vertical="center" wrapText="1"/>
    </xf>
    <xf numFmtId="0" fontId="2" fillId="8" borderId="29" xfId="0" applyFont="1" applyFill="1" applyBorder="1" applyAlignment="1" applyProtection="1">
      <alignment horizontal="center" vertical="center" wrapText="1"/>
    </xf>
    <xf numFmtId="0" fontId="2" fillId="8" borderId="30" xfId="0" applyFont="1" applyFill="1" applyBorder="1" applyAlignment="1" applyProtection="1">
      <alignment horizontal="center" vertical="center" wrapText="1"/>
    </xf>
    <xf numFmtId="164" fontId="4" fillId="10" borderId="46" xfId="1" applyNumberFormat="1" applyFont="1" applyFill="1" applyBorder="1" applyAlignment="1" applyProtection="1">
      <alignment horizontal="left" vertical="center"/>
    </xf>
    <xf numFmtId="0" fontId="2" fillId="6" borderId="45" xfId="0" applyFont="1" applyFill="1" applyBorder="1" applyAlignment="1" applyProtection="1">
      <alignment horizontal="left" wrapText="1"/>
    </xf>
    <xf numFmtId="0" fontId="4" fillId="10" borderId="46" xfId="0" applyFont="1" applyFill="1" applyBorder="1" applyAlignment="1" applyProtection="1">
      <alignment horizontal="left" wrapText="1"/>
    </xf>
    <xf numFmtId="0" fontId="2" fillId="15" borderId="19" xfId="0" applyFont="1" applyFill="1" applyBorder="1" applyAlignment="1" applyProtection="1">
      <alignment horizontal="center" wrapText="1"/>
      <protection locked="0"/>
    </xf>
    <xf numFmtId="0" fontId="2" fillId="15" borderId="54" xfId="0" applyFont="1" applyFill="1" applyBorder="1" applyAlignment="1" applyProtection="1">
      <alignment horizontal="center" wrapText="1"/>
      <protection locked="0"/>
    </xf>
    <xf numFmtId="0" fontId="2" fillId="15" borderId="17" xfId="0" applyFont="1" applyFill="1" applyBorder="1" applyAlignment="1" applyProtection="1">
      <alignment horizontal="center" wrapText="1"/>
      <protection locked="0"/>
    </xf>
    <xf numFmtId="0" fontId="2" fillId="15" borderId="27" xfId="0" applyFont="1" applyFill="1" applyBorder="1" applyAlignment="1" applyProtection="1">
      <alignment horizontal="center" wrapText="1"/>
      <protection locked="0"/>
    </xf>
    <xf numFmtId="0" fontId="2" fillId="15" borderId="42" xfId="0" applyFont="1" applyFill="1" applyBorder="1" applyAlignment="1" applyProtection="1">
      <alignment horizontal="center" wrapText="1"/>
      <protection locked="0"/>
    </xf>
    <xf numFmtId="0" fontId="2" fillId="15" borderId="43" xfId="0" applyFont="1" applyFill="1" applyBorder="1" applyAlignment="1" applyProtection="1">
      <alignment horizontal="center" wrapText="1"/>
      <protection locked="0"/>
    </xf>
    <xf numFmtId="0" fontId="2" fillId="8" borderId="40" xfId="0" applyFont="1" applyFill="1" applyBorder="1" applyAlignment="1" applyProtection="1">
      <alignment horizontal="center" vertical="center" wrapText="1"/>
    </xf>
    <xf numFmtId="0" fontId="2" fillId="8" borderId="0" xfId="0" applyFont="1" applyFill="1" applyBorder="1" applyAlignment="1" applyProtection="1">
      <alignment horizontal="center" vertical="center" wrapText="1"/>
    </xf>
    <xf numFmtId="0" fontId="2" fillId="2" borderId="45" xfId="0" applyFont="1" applyFill="1" applyBorder="1" applyAlignment="1" applyProtection="1">
      <alignment horizontal="center"/>
    </xf>
    <xf numFmtId="0" fontId="2" fillId="10" borderId="3" xfId="0" applyFont="1" applyFill="1" applyBorder="1" applyAlignment="1" applyProtection="1">
      <alignment horizontal="center" wrapText="1"/>
    </xf>
    <xf numFmtId="0" fontId="2" fillId="10" borderId="27" xfId="0" applyFont="1" applyFill="1" applyBorder="1" applyAlignment="1" applyProtection="1">
      <alignment horizontal="center" wrapText="1"/>
    </xf>
    <xf numFmtId="0" fontId="2" fillId="10" borderId="2" xfId="0" applyFont="1" applyFill="1" applyBorder="1" applyAlignment="1" applyProtection="1">
      <alignment horizontal="center" vertical="top" wrapText="1"/>
    </xf>
    <xf numFmtId="0" fontId="2" fillId="10" borderId="31" xfId="0" applyFont="1" applyFill="1" applyBorder="1" applyAlignment="1" applyProtection="1">
      <alignment horizontal="center" vertical="top" wrapText="1"/>
    </xf>
    <xf numFmtId="9" fontId="2" fillId="10" borderId="28" xfId="2" applyFont="1" applyFill="1" applyBorder="1" applyAlignment="1" applyProtection="1">
      <alignment horizontal="center" wrapText="1"/>
    </xf>
    <xf numFmtId="9" fontId="2" fillId="10" borderId="29" xfId="2" applyFont="1" applyFill="1" applyBorder="1" applyAlignment="1" applyProtection="1">
      <alignment horizontal="center" wrapText="1"/>
    </xf>
    <xf numFmtId="9" fontId="2" fillId="10" borderId="30" xfId="2" applyFont="1" applyFill="1" applyBorder="1" applyAlignment="1" applyProtection="1">
      <alignment horizontal="center" wrapText="1"/>
    </xf>
    <xf numFmtId="164" fontId="4" fillId="10" borderId="46" xfId="1" applyNumberFormat="1" applyFont="1" applyFill="1" applyBorder="1" applyAlignment="1" applyProtection="1">
      <alignment horizontal="left" vertical="top" wrapText="1"/>
    </xf>
    <xf numFmtId="0" fontId="2" fillId="6" borderId="0" xfId="0" applyFont="1" applyFill="1" applyAlignment="1" applyProtection="1">
      <alignment horizontal="left" wrapText="1"/>
    </xf>
    <xf numFmtId="164" fontId="2" fillId="0" borderId="28" xfId="1" applyNumberFormat="1" applyFont="1" applyBorder="1" applyAlignment="1" applyProtection="1">
      <alignment horizontal="center" wrapText="1"/>
    </xf>
    <xf numFmtId="164" fontId="2" fillId="0" borderId="29" xfId="1" applyNumberFormat="1" applyFont="1" applyBorder="1" applyAlignment="1" applyProtection="1">
      <alignment horizontal="center" wrapText="1"/>
    </xf>
    <xf numFmtId="164" fontId="2" fillId="0" borderId="30" xfId="1" applyNumberFormat="1" applyFont="1" applyBorder="1" applyAlignment="1" applyProtection="1">
      <alignment horizontal="center" wrapText="1"/>
    </xf>
    <xf numFmtId="0" fontId="0" fillId="0" borderId="29" xfId="0" applyBorder="1" applyProtection="1"/>
    <xf numFmtId="0" fontId="0" fillId="0" borderId="30" xfId="0" applyBorder="1" applyProtection="1"/>
    <xf numFmtId="164" fontId="3" fillId="10" borderId="28" xfId="1" applyNumberFormat="1" applyFont="1" applyFill="1" applyBorder="1" applyAlignment="1" applyProtection="1">
      <alignment horizontal="left" wrapText="1"/>
    </xf>
    <xf numFmtId="164" fontId="3" fillId="10" borderId="52" xfId="1" applyNumberFormat="1" applyFont="1" applyFill="1" applyBorder="1" applyAlignment="1" applyProtection="1">
      <alignment horizontal="left" wrapText="1"/>
    </xf>
    <xf numFmtId="164" fontId="2" fillId="10" borderId="59" xfId="1" applyNumberFormat="1" applyFont="1" applyFill="1" applyBorder="1" applyAlignment="1" applyProtection="1">
      <alignment horizontal="left" wrapText="1"/>
    </xf>
    <xf numFmtId="164" fontId="2" fillId="10" borderId="26" xfId="1" applyNumberFormat="1" applyFont="1" applyFill="1" applyBorder="1" applyAlignment="1" applyProtection="1">
      <alignment horizontal="left" wrapText="1"/>
    </xf>
    <xf numFmtId="164" fontId="2" fillId="10" borderId="60" xfId="1" applyNumberFormat="1" applyFont="1" applyFill="1" applyBorder="1" applyAlignment="1" applyProtection="1">
      <alignment horizontal="left" wrapText="1"/>
    </xf>
    <xf numFmtId="164" fontId="2" fillId="10" borderId="56" xfId="1" applyNumberFormat="1" applyFont="1" applyFill="1" applyBorder="1" applyAlignment="1" applyProtection="1">
      <alignment horizontal="left" wrapText="1"/>
    </xf>
    <xf numFmtId="164" fontId="2" fillId="10" borderId="28" xfId="1" applyNumberFormat="1" applyFont="1" applyFill="1" applyBorder="1" applyAlignment="1" applyProtection="1">
      <alignment horizontal="center" wrapText="1"/>
    </xf>
    <xf numFmtId="164" fontId="2" fillId="10" borderId="30" xfId="1" applyNumberFormat="1" applyFont="1" applyFill="1" applyBorder="1" applyAlignment="1" applyProtection="1">
      <alignment horizontal="center" wrapText="1"/>
    </xf>
    <xf numFmtId="164" fontId="2" fillId="10" borderId="28" xfId="1" applyNumberFormat="1" applyFont="1" applyFill="1" applyBorder="1" applyAlignment="1" applyProtection="1">
      <alignment horizontal="center" vertical="center"/>
    </xf>
    <xf numFmtId="164" fontId="2" fillId="10" borderId="29" xfId="1" applyNumberFormat="1" applyFont="1" applyFill="1" applyBorder="1" applyAlignment="1" applyProtection="1">
      <alignment horizontal="center" vertical="center"/>
    </xf>
    <xf numFmtId="164" fontId="2" fillId="10" borderId="52" xfId="1" applyNumberFormat="1" applyFont="1" applyFill="1" applyBorder="1" applyAlignment="1" applyProtection="1">
      <alignment horizontal="center" vertical="center"/>
    </xf>
    <xf numFmtId="0" fontId="2" fillId="7" borderId="0" xfId="0" applyFont="1" applyFill="1" applyAlignment="1" applyProtection="1">
      <alignment horizontal="center"/>
    </xf>
    <xf numFmtId="0" fontId="5" fillId="3" borderId="28" xfId="0" applyFont="1" applyFill="1" applyBorder="1" applyAlignment="1" applyProtection="1">
      <alignment horizontal="center"/>
    </xf>
    <xf numFmtId="0" fontId="5" fillId="3" borderId="29" xfId="0" applyFont="1" applyFill="1" applyBorder="1" applyAlignment="1" applyProtection="1">
      <alignment horizontal="center"/>
    </xf>
    <xf numFmtId="0" fontId="5" fillId="3" borderId="30" xfId="0" applyFont="1" applyFill="1" applyBorder="1" applyAlignment="1" applyProtection="1">
      <alignment horizontal="center"/>
    </xf>
    <xf numFmtId="0" fontId="5" fillId="13" borderId="38" xfId="0" applyFont="1" applyFill="1" applyBorder="1" applyAlignment="1" applyProtection="1">
      <alignment horizontal="left"/>
    </xf>
    <xf numFmtId="0" fontId="5" fillId="13" borderId="46" xfId="0" applyFont="1" applyFill="1" applyBorder="1" applyAlignment="1" applyProtection="1">
      <alignment horizontal="left"/>
    </xf>
    <xf numFmtId="0" fontId="5" fillId="13" borderId="40" xfId="0" applyFont="1" applyFill="1" applyBorder="1" applyAlignment="1" applyProtection="1">
      <alignment horizontal="left"/>
    </xf>
    <xf numFmtId="0" fontId="5" fillId="13" borderId="0" xfId="0" applyFont="1" applyFill="1" applyBorder="1" applyAlignment="1" applyProtection="1">
      <alignment horizontal="left"/>
    </xf>
    <xf numFmtId="0" fontId="5" fillId="13" borderId="39" xfId="0" applyFont="1" applyFill="1" applyBorder="1" applyAlignment="1" applyProtection="1">
      <alignment horizontal="left"/>
    </xf>
    <xf numFmtId="0" fontId="5" fillId="13" borderId="45" xfId="0" applyFont="1" applyFill="1" applyBorder="1" applyAlignment="1" applyProtection="1">
      <alignment horizontal="left"/>
    </xf>
    <xf numFmtId="0" fontId="5" fillId="0" borderId="27" xfId="0" applyFont="1" applyFill="1" applyBorder="1" applyAlignment="1" applyProtection="1">
      <alignment horizontal="center"/>
    </xf>
    <xf numFmtId="0" fontId="6" fillId="0" borderId="42" xfId="0" applyFont="1" applyFill="1" applyBorder="1" applyProtection="1"/>
    <xf numFmtId="0" fontId="6" fillId="0" borderId="43" xfId="0" applyFont="1" applyFill="1" applyBorder="1" applyProtection="1"/>
    <xf numFmtId="0" fontId="5" fillId="0" borderId="0" xfId="0" applyFont="1" applyAlignment="1" applyProtection="1">
      <alignment horizontal="center"/>
    </xf>
    <xf numFmtId="0" fontId="5" fillId="0" borderId="33" xfId="0" applyFont="1" applyFill="1" applyBorder="1" applyAlignment="1" applyProtection="1">
      <alignment horizontal="center" vertical="center"/>
    </xf>
    <xf numFmtId="0" fontId="6" fillId="0" borderId="41" xfId="0" applyFont="1" applyFill="1" applyBorder="1" applyProtection="1"/>
    <xf numFmtId="0" fontId="15" fillId="0" borderId="0" xfId="0" applyFont="1" applyAlignment="1" applyProtection="1">
      <alignment horizontal="center"/>
    </xf>
    <xf numFmtId="0" fontId="5" fillId="3" borderId="28" xfId="0" applyFont="1" applyFill="1" applyBorder="1" applyAlignment="1" applyProtection="1">
      <alignment horizontal="center" wrapText="1"/>
    </xf>
    <xf numFmtId="0" fontId="5" fillId="3" borderId="29" xfId="0" applyFont="1" applyFill="1" applyBorder="1" applyAlignment="1" applyProtection="1">
      <alignment horizontal="center" wrapText="1"/>
    </xf>
    <xf numFmtId="0" fontId="5" fillId="3" borderId="30" xfId="0" applyFont="1" applyFill="1" applyBorder="1" applyAlignment="1" applyProtection="1">
      <alignment horizontal="center" wrapText="1"/>
    </xf>
    <xf numFmtId="0" fontId="5" fillId="0" borderId="2" xfId="0" applyFont="1" applyBorder="1" applyAlignment="1" applyProtection="1">
      <alignment horizontal="center" vertical="top"/>
    </xf>
    <xf numFmtId="0" fontId="5" fillId="0" borderId="7" xfId="0" applyFont="1" applyBorder="1" applyAlignment="1" applyProtection="1">
      <alignment horizontal="center" vertical="top"/>
    </xf>
    <xf numFmtId="0" fontId="5" fillId="0" borderId="3" xfId="0" applyFont="1" applyBorder="1" applyAlignment="1" applyProtection="1">
      <alignment horizontal="center" vertical="top" wrapText="1"/>
    </xf>
    <xf numFmtId="0" fontId="5" fillId="0" borderId="8" xfId="0" applyFont="1" applyBorder="1" applyAlignment="1" applyProtection="1">
      <alignment horizontal="center" vertical="top" wrapText="1"/>
    </xf>
    <xf numFmtId="165" fontId="5" fillId="0" borderId="3" xfId="2" applyNumberFormat="1" applyFont="1" applyBorder="1" applyAlignment="1" applyProtection="1">
      <alignment horizontal="center" vertical="top"/>
    </xf>
    <xf numFmtId="165" fontId="5" fillId="0" borderId="8" xfId="2" applyNumberFormat="1" applyFont="1" applyBorder="1" applyAlignment="1" applyProtection="1">
      <alignment horizontal="center" vertical="top"/>
    </xf>
    <xf numFmtId="0" fontId="15" fillId="0" borderId="0" xfId="0" applyFont="1" applyAlignment="1" applyProtection="1">
      <alignment horizontal="left"/>
    </xf>
    <xf numFmtId="0" fontId="5" fillId="3" borderId="69" xfId="0" applyFont="1" applyFill="1" applyBorder="1" applyAlignment="1" applyProtection="1">
      <alignment horizontal="center"/>
    </xf>
    <xf numFmtId="0" fontId="5" fillId="3" borderId="44" xfId="0" applyFont="1" applyFill="1" applyBorder="1" applyAlignment="1" applyProtection="1">
      <alignment horizontal="center"/>
    </xf>
    <xf numFmtId="0" fontId="5" fillId="0" borderId="27" xfId="0" applyFont="1" applyBorder="1" applyAlignment="1" applyProtection="1">
      <alignment horizontal="center"/>
    </xf>
    <xf numFmtId="0" fontId="5" fillId="0" borderId="42" xfId="0" applyFont="1" applyBorder="1" applyAlignment="1" applyProtection="1">
      <alignment horizontal="center"/>
    </xf>
    <xf numFmtId="0" fontId="5" fillId="0" borderId="26" xfId="0" applyFont="1" applyBorder="1" applyAlignment="1" applyProtection="1">
      <alignment horizontal="center"/>
    </xf>
    <xf numFmtId="0" fontId="5" fillId="5" borderId="3" xfId="0" applyFont="1" applyFill="1" applyBorder="1" applyAlignment="1" applyProtection="1">
      <alignment horizontal="center"/>
    </xf>
    <xf numFmtId="0" fontId="5" fillId="0" borderId="3" xfId="0" applyFont="1" applyBorder="1" applyAlignment="1" applyProtection="1">
      <alignment horizontal="center"/>
    </xf>
    <xf numFmtId="0" fontId="18" fillId="3" borderId="28" xfId="0" applyFont="1" applyFill="1" applyBorder="1" applyAlignment="1" applyProtection="1">
      <alignment horizontal="center"/>
    </xf>
    <xf numFmtId="0" fontId="18" fillId="3" borderId="29" xfId="0" applyFont="1" applyFill="1" applyBorder="1" applyAlignment="1" applyProtection="1">
      <alignment horizontal="center"/>
    </xf>
    <xf numFmtId="0" fontId="18" fillId="3" borderId="30" xfId="0" applyFont="1" applyFill="1" applyBorder="1" applyAlignment="1" applyProtection="1">
      <alignment horizontal="center"/>
    </xf>
    <xf numFmtId="0" fontId="17" fillId="3" borderId="28" xfId="0" applyFont="1" applyFill="1" applyBorder="1" applyAlignment="1" applyProtection="1">
      <alignment horizontal="center"/>
    </xf>
    <xf numFmtId="0" fontId="17" fillId="3" borderId="29" xfId="0" applyFont="1" applyFill="1" applyBorder="1" applyAlignment="1" applyProtection="1">
      <alignment horizontal="center"/>
    </xf>
    <xf numFmtId="0" fontId="17" fillId="3" borderId="30" xfId="0" applyFont="1" applyFill="1" applyBorder="1" applyAlignment="1" applyProtection="1">
      <alignment horizontal="center"/>
    </xf>
    <xf numFmtId="0" fontId="18" fillId="0" borderId="33" xfId="0" applyFont="1" applyBorder="1" applyAlignment="1" applyProtection="1">
      <alignment horizontal="center" vertical="top" wrapText="1"/>
    </xf>
    <xf numFmtId="0" fontId="18" fillId="0" borderId="41" xfId="0" applyFont="1" applyBorder="1" applyAlignment="1" applyProtection="1">
      <alignment horizontal="center" vertical="top" wrapText="1"/>
    </xf>
    <xf numFmtId="0" fontId="23" fillId="0" borderId="38" xfId="0" applyFont="1" applyBorder="1" applyAlignment="1" applyProtection="1">
      <alignment horizontal="center" vertical="center"/>
    </xf>
    <xf numFmtId="0" fontId="23" fillId="0" borderId="46" xfId="0" applyFont="1" applyBorder="1" applyAlignment="1" applyProtection="1">
      <alignment horizontal="center" vertical="center"/>
    </xf>
    <xf numFmtId="0" fontId="23" fillId="0" borderId="47" xfId="0" applyFont="1" applyBorder="1" applyAlignment="1" applyProtection="1">
      <alignment horizontal="center" vertical="center"/>
    </xf>
    <xf numFmtId="0" fontId="23" fillId="0" borderId="39" xfId="0" applyFont="1" applyBorder="1" applyAlignment="1" applyProtection="1">
      <alignment horizontal="center" vertical="center"/>
    </xf>
    <xf numFmtId="0" fontId="23" fillId="0" borderId="45" xfId="0" applyFont="1" applyBorder="1" applyAlignment="1" applyProtection="1">
      <alignment horizontal="center" vertical="center"/>
    </xf>
    <xf numFmtId="0" fontId="23" fillId="0" borderId="48" xfId="0" applyFont="1" applyBorder="1" applyAlignment="1" applyProtection="1">
      <alignment horizontal="center" vertical="center"/>
    </xf>
    <xf numFmtId="164" fontId="3" fillId="0" borderId="1" xfId="1" applyNumberFormat="1" applyFont="1" applyFill="1" applyBorder="1" applyAlignment="1" applyProtection="1">
      <alignment wrapText="1"/>
    </xf>
    <xf numFmtId="164" fontId="6" fillId="0" borderId="0" xfId="1" applyNumberFormat="1" applyFont="1" applyFill="1" applyAlignment="1" applyProtection="1">
      <alignment horizontal="right"/>
    </xf>
    <xf numFmtId="164" fontId="5" fillId="0" borderId="0" xfId="1" applyNumberFormat="1" applyFont="1" applyFill="1" applyProtection="1"/>
    <xf numFmtId="0" fontId="29" fillId="10" borderId="17" xfId="0" applyFont="1" applyFill="1" applyBorder="1" applyAlignment="1" applyProtection="1">
      <alignment vertical="top" wrapText="1"/>
    </xf>
    <xf numFmtId="172" fontId="29" fillId="11" borderId="19" xfId="1" applyNumberFormat="1" applyFont="1" applyFill="1" applyBorder="1" applyAlignment="1" applyProtection="1">
      <alignment horizontal="center" vertical="top" wrapText="1"/>
      <protection locked="0"/>
    </xf>
    <xf numFmtId="164" fontId="5" fillId="0" borderId="51" xfId="1" applyNumberFormat="1" applyFont="1" applyBorder="1" applyAlignment="1" applyProtection="1">
      <alignment horizontal="center"/>
    </xf>
    <xf numFmtId="164" fontId="5" fillId="0" borderId="7" xfId="1" applyNumberFormat="1" applyFont="1" applyBorder="1" applyAlignment="1" applyProtection="1">
      <alignment horizontal="center"/>
    </xf>
    <xf numFmtId="164" fontId="5" fillId="0" borderId="9" xfId="1" applyNumberFormat="1" applyFont="1" applyBorder="1" applyAlignment="1" applyProtection="1">
      <alignment horizontal="center"/>
    </xf>
    <xf numFmtId="12" fontId="5" fillId="0" borderId="2" xfId="1" applyNumberFormat="1" applyFont="1" applyBorder="1" applyAlignment="1" applyProtection="1"/>
    <xf numFmtId="12" fontId="5" fillId="0" borderId="3" xfId="1" applyNumberFormat="1" applyFont="1" applyBorder="1" applyAlignment="1" applyProtection="1"/>
    <xf numFmtId="12" fontId="5" fillId="0" borderId="27" xfId="1" applyNumberFormat="1" applyFont="1" applyBorder="1" applyAlignment="1" applyProtection="1"/>
    <xf numFmtId="164" fontId="5" fillId="0" borderId="43" xfId="1" applyNumberFormat="1" applyFont="1" applyBorder="1" applyAlignment="1" applyProtection="1">
      <alignment horizontal="center" vertical="top"/>
    </xf>
    <xf numFmtId="164" fontId="5" fillId="0" borderId="70" xfId="1" applyNumberFormat="1" applyFont="1" applyBorder="1" applyAlignment="1" applyProtection="1">
      <alignment horizontal="center" vertical="top"/>
    </xf>
    <xf numFmtId="12" fontId="5" fillId="0" borderId="4" xfId="1" applyNumberFormat="1" applyFont="1" applyBorder="1" applyAlignment="1" applyProtection="1"/>
    <xf numFmtId="10" fontId="6" fillId="0" borderId="0" xfId="0" applyNumberFormat="1" applyFont="1" applyFill="1" applyProtection="1"/>
    <xf numFmtId="164" fontId="3" fillId="4" borderId="17" xfId="1" applyNumberFormat="1" applyFont="1" applyFill="1" applyBorder="1" applyProtection="1"/>
    <xf numFmtId="0" fontId="6" fillId="0" borderId="0" xfId="2" applyNumberFormat="1" applyFont="1" applyBorder="1" applyProtection="1"/>
    <xf numFmtId="1" fontId="5" fillId="0" borderId="1" xfId="2" applyNumberFormat="1" applyFont="1" applyBorder="1" applyAlignment="1" applyProtection="1">
      <alignment horizontal="center"/>
    </xf>
    <xf numFmtId="0" fontId="5" fillId="0" borderId="46" xfId="0" applyFont="1" applyFill="1" applyBorder="1" applyAlignment="1" applyProtection="1">
      <alignment horizontal="center" wrapText="1"/>
    </xf>
    <xf numFmtId="0" fontId="5" fillId="0" borderId="26" xfId="0" applyFont="1" applyBorder="1" applyAlignment="1" applyProtection="1">
      <alignment horizontal="center" wrapText="1"/>
    </xf>
    <xf numFmtId="0" fontId="5" fillId="0" borderId="23" xfId="0" applyFont="1" applyBorder="1" applyAlignment="1" applyProtection="1">
      <alignment horizontal="center" wrapText="1"/>
    </xf>
    <xf numFmtId="10" fontId="18" fillId="0" borderId="0" xfId="1" applyNumberFormat="1" applyFont="1" applyFill="1" applyProtection="1"/>
    <xf numFmtId="10" fontId="18" fillId="0" borderId="0" xfId="2" applyNumberFormat="1" applyFont="1" applyFill="1" applyProtection="1"/>
    <xf numFmtId="1" fontId="18" fillId="0" borderId="14" xfId="1" applyNumberFormat="1" applyFont="1" applyBorder="1" applyAlignment="1" applyProtection="1">
      <alignment horizontal="center"/>
    </xf>
    <xf numFmtId="1" fontId="18" fillId="0" borderId="15" xfId="1" applyNumberFormat="1" applyFont="1" applyBorder="1" applyAlignment="1" applyProtection="1">
      <alignment horizontal="center"/>
    </xf>
    <xf numFmtId="1" fontId="18" fillId="0" borderId="3" xfId="1" applyNumberFormat="1" applyFont="1" applyBorder="1" applyAlignment="1" applyProtection="1">
      <alignment horizontal="center"/>
    </xf>
    <xf numFmtId="1" fontId="18" fillId="0" borderId="4" xfId="1" applyNumberFormat="1" applyFont="1" applyBorder="1" applyAlignment="1" applyProtection="1">
      <alignment horizontal="center"/>
    </xf>
    <xf numFmtId="164" fontId="6" fillId="0" borderId="0" xfId="1" applyNumberFormat="1" applyFont="1" applyFill="1"/>
    <xf numFmtId="1" fontId="18" fillId="0" borderId="3" xfId="0" applyNumberFormat="1" applyFont="1" applyBorder="1" applyAlignment="1" applyProtection="1">
      <alignment horizontal="center"/>
    </xf>
    <xf numFmtId="164" fontId="3" fillId="10" borderId="19" xfId="1" applyNumberFormat="1" applyFont="1" applyFill="1" applyBorder="1" applyAlignment="1" applyProtection="1">
      <alignment wrapText="1"/>
    </xf>
    <xf numFmtId="164" fontId="3" fillId="0" borderId="19" xfId="1" applyNumberFormat="1" applyFont="1" applyFill="1" applyBorder="1" applyAlignment="1" applyProtection="1">
      <alignment wrapText="1"/>
      <protection locked="0"/>
    </xf>
    <xf numFmtId="164" fontId="3" fillId="10" borderId="27" xfId="1" applyNumberFormat="1" applyFont="1" applyFill="1" applyBorder="1" applyAlignment="1" applyProtection="1">
      <alignment wrapText="1"/>
    </xf>
    <xf numFmtId="9" fontId="3" fillId="0" borderId="4" xfId="2" applyFont="1" applyBorder="1" applyProtection="1">
      <protection locked="0"/>
    </xf>
    <xf numFmtId="164" fontId="3" fillId="10" borderId="5" xfId="1" applyNumberFormat="1" applyFont="1" applyFill="1" applyBorder="1" applyProtection="1"/>
    <xf numFmtId="164" fontId="3" fillId="10" borderId="7" xfId="1" applyNumberFormat="1" applyFont="1" applyFill="1" applyBorder="1" applyProtection="1"/>
    <xf numFmtId="1" fontId="18" fillId="0" borderId="4" xfId="0" applyNumberFormat="1" applyFont="1" applyBorder="1" applyAlignment="1" applyProtection="1">
      <alignment horizontal="center"/>
    </xf>
    <xf numFmtId="1" fontId="18" fillId="0" borderId="3" xfId="0" applyNumberFormat="1" applyFont="1" applyFill="1" applyBorder="1" applyAlignment="1" applyProtection="1">
      <alignment horizontal="center"/>
    </xf>
    <xf numFmtId="0" fontId="18" fillId="7" borderId="43" xfId="0" applyFont="1" applyFill="1" applyBorder="1" applyProtection="1"/>
    <xf numFmtId="0" fontId="18" fillId="7" borderId="66" xfId="0" applyFont="1" applyFill="1" applyBorder="1" applyProtection="1"/>
    <xf numFmtId="10" fontId="18" fillId="7" borderId="56" xfId="0" applyNumberFormat="1" applyFont="1" applyFill="1" applyBorder="1" applyProtection="1"/>
    <xf numFmtId="1" fontId="18" fillId="0" borderId="4" xfId="0" applyNumberFormat="1" applyFont="1" applyFill="1" applyBorder="1" applyAlignment="1" applyProtection="1">
      <alignment horizontal="center"/>
    </xf>
    <xf numFmtId="10" fontId="18" fillId="0" borderId="9" xfId="0" applyNumberFormat="1" applyFont="1" applyFill="1" applyBorder="1" applyProtection="1"/>
    <xf numFmtId="1" fontId="2" fillId="0" borderId="3" xfId="1" applyNumberFormat="1" applyFont="1" applyBorder="1" applyAlignment="1" applyProtection="1">
      <alignment horizontal="center"/>
    </xf>
    <xf numFmtId="165" fontId="32" fillId="0" borderId="63" xfId="2" applyNumberFormat="1" applyFont="1" applyBorder="1" applyProtection="1">
      <protection locked="0"/>
    </xf>
    <xf numFmtId="165" fontId="28" fillId="0" borderId="0" xfId="2" applyNumberFormat="1" applyFont="1" applyProtection="1">
      <protection locked="0"/>
    </xf>
    <xf numFmtId="165" fontId="32" fillId="0" borderId="0" xfId="2" applyNumberFormat="1" applyFont="1" applyProtection="1">
      <protection locked="0"/>
    </xf>
    <xf numFmtId="165" fontId="32" fillId="0" borderId="68" xfId="2" applyNumberFormat="1" applyFont="1" applyBorder="1" applyProtection="1">
      <protection locked="0"/>
    </xf>
    <xf numFmtId="165" fontId="2" fillId="7" borderId="26" xfId="2" applyNumberFormat="1" applyFont="1" applyFill="1" applyBorder="1" applyAlignment="1" applyProtection="1">
      <alignment horizontal="center"/>
    </xf>
    <xf numFmtId="165" fontId="2" fillId="7" borderId="23" xfId="2" applyNumberFormat="1" applyFont="1" applyFill="1" applyBorder="1" applyAlignment="1" applyProtection="1">
      <alignment horizontal="center"/>
    </xf>
    <xf numFmtId="1" fontId="2" fillId="0" borderId="4" xfId="1" applyNumberFormat="1" applyFont="1" applyBorder="1" applyAlignment="1" applyProtection="1">
      <alignment horizontal="center"/>
    </xf>
    <xf numFmtId="164" fontId="0" fillId="0" borderId="0" xfId="0" applyNumberFormat="1" applyFont="1" applyBorder="1" applyProtection="1"/>
    <xf numFmtId="1" fontId="23" fillId="0" borderId="0" xfId="1" applyNumberFormat="1" applyFont="1" applyAlignment="1" applyProtection="1">
      <alignment horizontal="center" vertical="center" wrapText="1"/>
    </xf>
    <xf numFmtId="0" fontId="23" fillId="18" borderId="2" xfId="0" applyFont="1" applyFill="1" applyBorder="1" applyAlignment="1" applyProtection="1">
      <alignment horizontal="center" vertical="top"/>
    </xf>
    <xf numFmtId="0" fontId="23" fillId="18" borderId="3" xfId="0" applyFont="1" applyFill="1" applyBorder="1" applyAlignment="1" applyProtection="1">
      <alignment horizontal="center" vertical="top" wrapText="1"/>
    </xf>
    <xf numFmtId="0" fontId="23" fillId="18" borderId="34" xfId="0" applyFont="1" applyFill="1" applyBorder="1" applyAlignment="1" applyProtection="1">
      <alignment horizontal="center" vertical="top"/>
    </xf>
    <xf numFmtId="1" fontId="23" fillId="18" borderId="27" xfId="1" applyNumberFormat="1" applyFont="1" applyFill="1" applyBorder="1" applyAlignment="1" applyProtection="1">
      <alignment horizontal="center"/>
    </xf>
    <xf numFmtId="1" fontId="23" fillId="18" borderId="42" xfId="1" applyNumberFormat="1" applyFont="1" applyFill="1" applyBorder="1" applyAlignment="1" applyProtection="1">
      <alignment horizontal="center"/>
    </xf>
    <xf numFmtId="1" fontId="23" fillId="18" borderId="26" xfId="1" applyNumberFormat="1" applyFont="1" applyFill="1" applyBorder="1" applyAlignment="1" applyProtection="1">
      <alignment horizontal="center"/>
    </xf>
    <xf numFmtId="0" fontId="23" fillId="18" borderId="7" xfId="0" applyFont="1" applyFill="1" applyBorder="1" applyAlignment="1" applyProtection="1">
      <alignment horizontal="center" vertical="top"/>
    </xf>
    <xf numFmtId="0" fontId="23" fillId="18" borderId="8" xfId="0" applyFont="1" applyFill="1" applyBorder="1" applyAlignment="1" applyProtection="1">
      <alignment horizontal="center" vertical="top" wrapText="1"/>
    </xf>
    <xf numFmtId="0" fontId="23" fillId="18" borderId="21" xfId="0" applyFont="1" applyFill="1" applyBorder="1" applyAlignment="1" applyProtection="1">
      <alignment horizontal="center" vertical="top"/>
    </xf>
    <xf numFmtId="164" fontId="23" fillId="18" borderId="8" xfId="1" applyNumberFormat="1" applyFont="1" applyFill="1" applyBorder="1" applyAlignment="1" applyProtection="1">
      <alignment horizontal="center"/>
    </xf>
    <xf numFmtId="164" fontId="23" fillId="18" borderId="9" xfId="1" applyNumberFormat="1" applyFont="1" applyFill="1" applyBorder="1" applyAlignment="1" applyProtection="1">
      <alignment horizontal="center"/>
    </xf>
    <xf numFmtId="10" fontId="25" fillId="14" borderId="0" xfId="2" applyNumberFormat="1" applyFont="1" applyFill="1" applyProtection="1">
      <protection locked="0"/>
    </xf>
    <xf numFmtId="0" fontId="2" fillId="11" borderId="51" xfId="0" applyFont="1" applyFill="1" applyBorder="1" applyAlignment="1" applyProtection="1">
      <alignment horizontal="center"/>
      <protection locked="0"/>
    </xf>
    <xf numFmtId="0" fontId="2" fillId="11" borderId="68" xfId="0" applyFont="1" applyFill="1" applyBorder="1" applyAlignment="1" applyProtection="1">
      <alignment horizontal="center"/>
      <protection locked="0"/>
    </xf>
    <xf numFmtId="0" fontId="2" fillId="11" borderId="56" xfId="0" applyFont="1" applyFill="1" applyBorder="1" applyAlignment="1" applyProtection="1">
      <alignment horizontal="center"/>
      <protection locked="0"/>
    </xf>
    <xf numFmtId="0" fontId="2" fillId="11" borderId="68" xfId="0" applyFont="1" applyFill="1" applyBorder="1" applyAlignment="1" applyProtection="1">
      <alignment horizontal="center"/>
      <protection locked="0"/>
    </xf>
    <xf numFmtId="1" fontId="2" fillId="10" borderId="14" xfId="1" applyNumberFormat="1" applyFont="1" applyFill="1" applyBorder="1" applyAlignment="1" applyProtection="1">
      <alignment horizontal="center" wrapText="1"/>
    </xf>
    <xf numFmtId="1" fontId="2" fillId="10" borderId="15" xfId="1" applyNumberFormat="1" applyFont="1" applyFill="1" applyBorder="1" applyAlignment="1" applyProtection="1">
      <alignment horizontal="center" wrapText="1"/>
    </xf>
    <xf numFmtId="1" fontId="2" fillId="10" borderId="52" xfId="1" applyNumberFormat="1" applyFont="1" applyFill="1" applyBorder="1" applyAlignment="1" applyProtection="1">
      <alignment horizontal="center" wrapText="1"/>
    </xf>
    <xf numFmtId="0" fontId="17" fillId="11" borderId="0" xfId="0" applyFont="1" applyFill="1" applyProtection="1">
      <protection locked="0"/>
    </xf>
    <xf numFmtId="3" fontId="17" fillId="11" borderId="0" xfId="0" applyNumberFormat="1" applyFont="1" applyFill="1" applyProtection="1">
      <protection locked="0"/>
    </xf>
    <xf numFmtId="164" fontId="18" fillId="2" borderId="0" xfId="1" applyNumberFormat="1" applyFont="1" applyFill="1" applyProtection="1"/>
    <xf numFmtId="0" fontId="18" fillId="2" borderId="0" xfId="0" applyFont="1" applyFill="1" applyProtection="1"/>
    <xf numFmtId="3" fontId="18" fillId="2" borderId="0" xfId="0" applyNumberFormat="1" applyFont="1" applyFill="1" applyProtection="1"/>
    <xf numFmtId="165" fontId="18" fillId="2" borderId="0" xfId="2" applyNumberFormat="1" applyFont="1" applyFill="1" applyProtection="1"/>
    <xf numFmtId="0" fontId="3" fillId="0" borderId="36" xfId="0" applyFont="1" applyBorder="1" applyAlignment="1">
      <alignment vertical="center"/>
    </xf>
    <xf numFmtId="0" fontId="3" fillId="0" borderId="65" xfId="0" applyFont="1" applyBorder="1" applyAlignment="1">
      <alignment vertical="center" wrapText="1"/>
    </xf>
    <xf numFmtId="164" fontId="2" fillId="10" borderId="56" xfId="1" applyNumberFormat="1" applyFont="1" applyFill="1" applyBorder="1" applyAlignment="1" applyProtection="1">
      <alignment horizontal="center" wrapText="1"/>
    </xf>
    <xf numFmtId="164" fontId="2" fillId="10" borderId="59" xfId="1" applyNumberFormat="1" applyFont="1" applyFill="1" applyBorder="1" applyAlignment="1" applyProtection="1">
      <alignment horizontal="center"/>
    </xf>
    <xf numFmtId="164" fontId="2" fillId="10" borderId="7" xfId="1" applyNumberFormat="1" applyFont="1" applyFill="1" applyBorder="1" applyAlignment="1" applyProtection="1">
      <alignment horizontal="center" wrapText="1"/>
    </xf>
    <xf numFmtId="0" fontId="2" fillId="10" borderId="59" xfId="0" applyFont="1" applyFill="1" applyBorder="1" applyAlignment="1" applyProtection="1">
      <alignment horizontal="center" wrapText="1"/>
    </xf>
    <xf numFmtId="0" fontId="2" fillId="10" borderId="60" xfId="0" applyFont="1" applyFill="1" applyBorder="1" applyAlignment="1" applyProtection="1">
      <alignment horizontal="center" wrapText="1"/>
    </xf>
    <xf numFmtId="1" fontId="2" fillId="10" borderId="43" xfId="1" applyNumberFormat="1" applyFont="1" applyFill="1" applyBorder="1" applyAlignment="1" applyProtection="1">
      <alignment horizontal="center"/>
    </xf>
    <xf numFmtId="164" fontId="2" fillId="10" borderId="70" xfId="1" applyNumberFormat="1" applyFont="1" applyFill="1" applyBorder="1" applyAlignment="1" applyProtection="1">
      <alignment horizontal="center"/>
    </xf>
    <xf numFmtId="0" fontId="3" fillId="10" borderId="27" xfId="0" applyFont="1" applyFill="1" applyBorder="1" applyProtection="1"/>
    <xf numFmtId="164" fontId="2" fillId="15" borderId="51" xfId="1" applyNumberFormat="1" applyFont="1" applyFill="1" applyBorder="1" applyProtection="1"/>
    <xf numFmtId="0" fontId="3" fillId="10" borderId="2" xfId="0" applyFont="1" applyFill="1" applyBorder="1" applyProtection="1"/>
    <xf numFmtId="0" fontId="3" fillId="10" borderId="4" xfId="0" applyFont="1" applyFill="1" applyBorder="1" applyProtection="1"/>
    <xf numFmtId="164" fontId="3" fillId="15" borderId="5" xfId="1" applyNumberFormat="1" applyFont="1" applyFill="1" applyBorder="1" applyProtection="1"/>
    <xf numFmtId="164" fontId="3" fillId="15" borderId="6" xfId="1" applyNumberFormat="1" applyFont="1" applyFill="1" applyBorder="1" applyProtection="1"/>
    <xf numFmtId="164" fontId="2" fillId="15" borderId="7" xfId="1" applyNumberFormat="1" applyFont="1" applyFill="1" applyBorder="1" applyProtection="1"/>
    <xf numFmtId="164" fontId="2" fillId="15" borderId="9" xfId="1" applyNumberFormat="1" applyFont="1" applyFill="1" applyBorder="1" applyProtection="1"/>
    <xf numFmtId="0" fontId="2" fillId="15" borderId="5" xfId="0" applyFont="1" applyFill="1" applyBorder="1" applyAlignment="1" applyProtection="1">
      <alignment wrapText="1"/>
    </xf>
    <xf numFmtId="0" fontId="3" fillId="0" borderId="6" xfId="0" applyFont="1" applyFill="1" applyBorder="1" applyProtection="1">
      <protection locked="0"/>
    </xf>
    <xf numFmtId="0" fontId="3" fillId="15" borderId="5" xfId="0" applyFont="1" applyFill="1" applyBorder="1" applyAlignment="1" applyProtection="1">
      <alignment wrapText="1"/>
    </xf>
    <xf numFmtId="9" fontId="28" fillId="0" borderId="6" xfId="2" applyFont="1" applyFill="1" applyBorder="1" applyProtection="1">
      <protection locked="0"/>
    </xf>
    <xf numFmtId="9" fontId="3" fillId="0" borderId="6" xfId="2" applyFont="1" applyFill="1" applyBorder="1" applyProtection="1">
      <protection locked="0"/>
    </xf>
    <xf numFmtId="165" fontId="3" fillId="15" borderId="6" xfId="2" applyNumberFormat="1" applyFont="1" applyFill="1" applyBorder="1" applyProtection="1"/>
    <xf numFmtId="0" fontId="2" fillId="15" borderId="7" xfId="0" applyFont="1" applyFill="1" applyBorder="1" applyAlignment="1" applyProtection="1">
      <alignment horizontal="right" wrapText="1"/>
    </xf>
    <xf numFmtId="164" fontId="2" fillId="15" borderId="8" xfId="1" applyNumberFormat="1" applyFont="1" applyFill="1" applyBorder="1" applyAlignment="1" applyProtection="1">
      <alignment wrapText="1"/>
    </xf>
    <xf numFmtId="9" fontId="2" fillId="15" borderId="8" xfId="2" applyFont="1" applyFill="1" applyBorder="1" applyAlignment="1" applyProtection="1">
      <alignment wrapText="1"/>
    </xf>
    <xf numFmtId="164" fontId="2" fillId="15" borderId="8" xfId="1" applyNumberFormat="1" applyFont="1" applyFill="1" applyBorder="1" applyProtection="1">
      <protection locked="0"/>
    </xf>
    <xf numFmtId="164" fontId="2" fillId="15" borderId="9" xfId="1" applyNumberFormat="1" applyFont="1" applyFill="1" applyBorder="1" applyProtection="1">
      <protection locked="0"/>
    </xf>
    <xf numFmtId="0" fontId="2" fillId="11" borderId="56" xfId="0" applyFont="1" applyFill="1" applyBorder="1" applyAlignment="1" applyProtection="1">
      <alignment horizontal="center"/>
      <protection locked="0"/>
    </xf>
    <xf numFmtId="0" fontId="2" fillId="10" borderId="8" xfId="0" applyFont="1" applyFill="1" applyBorder="1" applyAlignment="1" applyProtection="1">
      <alignment horizontal="center"/>
    </xf>
    <xf numFmtId="164" fontId="2" fillId="15" borderId="1" xfId="1" applyNumberFormat="1" applyFont="1" applyFill="1" applyBorder="1" applyAlignment="1" applyProtection="1">
      <alignment horizontal="center" wrapText="1"/>
    </xf>
    <xf numFmtId="164" fontId="2" fillId="10" borderId="39" xfId="1" applyNumberFormat="1" applyFont="1" applyFill="1" applyBorder="1" applyAlignment="1" applyProtection="1">
      <alignment horizontal="left" wrapText="1"/>
    </xf>
    <xf numFmtId="164" fontId="2" fillId="10" borderId="45" xfId="1" applyNumberFormat="1" applyFont="1" applyFill="1" applyBorder="1" applyAlignment="1" applyProtection="1">
      <alignment horizontal="left" wrapText="1"/>
    </xf>
    <xf numFmtId="9" fontId="3" fillId="10" borderId="45" xfId="2" applyFont="1" applyFill="1" applyBorder="1" applyProtection="1"/>
    <xf numFmtId="164" fontId="2" fillId="0" borderId="1" xfId="1" applyNumberFormat="1" applyFont="1" applyBorder="1" applyAlignment="1" applyProtection="1">
      <alignment horizontal="center"/>
    </xf>
    <xf numFmtId="164" fontId="2" fillId="15" borderId="1" xfId="1" applyNumberFormat="1" applyFont="1" applyFill="1" applyBorder="1" applyAlignment="1" applyProtection="1">
      <alignment horizontal="center"/>
    </xf>
    <xf numFmtId="164" fontId="2" fillId="10" borderId="1" xfId="1" applyNumberFormat="1" applyFont="1" applyFill="1" applyBorder="1" applyAlignment="1" applyProtection="1">
      <alignment horizontal="center"/>
    </xf>
    <xf numFmtId="164" fontId="2" fillId="10" borderId="1" xfId="1" applyNumberFormat="1" applyFont="1" applyFill="1" applyBorder="1" applyAlignment="1" applyProtection="1">
      <alignment horizontal="center" wrapText="1"/>
    </xf>
    <xf numFmtId="164" fontId="2" fillId="10" borderId="1" xfId="1" applyNumberFormat="1" applyFont="1" applyFill="1" applyBorder="1" applyAlignment="1" applyProtection="1">
      <alignment vertical="center" wrapText="1"/>
    </xf>
    <xf numFmtId="1" fontId="2" fillId="10" borderId="1" xfId="1" applyNumberFormat="1" applyFont="1" applyFill="1" applyBorder="1" applyAlignment="1" applyProtection="1">
      <alignment horizontal="center" wrapText="1"/>
    </xf>
    <xf numFmtId="164" fontId="2" fillId="10" borderId="1" xfId="1" applyNumberFormat="1" applyFont="1" applyFill="1" applyBorder="1" applyAlignment="1" applyProtection="1">
      <alignment wrapText="1"/>
    </xf>
    <xf numFmtId="9" fontId="3" fillId="0" borderId="1" xfId="2" applyFont="1" applyBorder="1" applyAlignment="1" applyProtection="1">
      <alignment wrapText="1"/>
      <protection locked="0"/>
    </xf>
    <xf numFmtId="9" fontId="3" fillId="0" borderId="24" xfId="2" applyFont="1" applyBorder="1" applyProtection="1">
      <protection locked="0"/>
    </xf>
    <xf numFmtId="0" fontId="2" fillId="10" borderId="25" xfId="0" applyFont="1" applyFill="1" applyBorder="1" applyAlignment="1" applyProtection="1">
      <alignment horizontal="center" wrapText="1"/>
    </xf>
    <xf numFmtId="0" fontId="2" fillId="10" borderId="41" xfId="0" applyFont="1" applyFill="1" applyBorder="1" applyAlignment="1" applyProtection="1">
      <alignment horizontal="center" wrapText="1"/>
    </xf>
    <xf numFmtId="0" fontId="2" fillId="10" borderId="21" xfId="0" applyFont="1" applyFill="1" applyBorder="1" applyAlignment="1" applyProtection="1">
      <alignment horizontal="center" wrapText="1"/>
    </xf>
    <xf numFmtId="164" fontId="2" fillId="10" borderId="21" xfId="1" applyNumberFormat="1" applyFont="1" applyFill="1" applyBorder="1" applyAlignment="1" applyProtection="1">
      <alignment horizontal="center" wrapText="1"/>
    </xf>
    <xf numFmtId="164" fontId="2" fillId="10" borderId="22" xfId="1" applyNumberFormat="1" applyFont="1" applyFill="1" applyBorder="1" applyAlignment="1" applyProtection="1">
      <alignment horizontal="center" wrapText="1"/>
    </xf>
    <xf numFmtId="0" fontId="2" fillId="10" borderId="71" xfId="0" applyFont="1" applyFill="1" applyBorder="1" applyAlignment="1" applyProtection="1">
      <alignment horizontal="center" wrapText="1"/>
    </xf>
    <xf numFmtId="169" fontId="5" fillId="0" borderId="8" xfId="0" applyNumberFormat="1" applyFont="1" applyFill="1" applyBorder="1" applyProtection="1">
      <protection locked="0"/>
    </xf>
    <xf numFmtId="164" fontId="5" fillId="0" borderId="0" xfId="1" quotePrefix="1" applyNumberFormat="1" applyFont="1" applyAlignment="1" applyProtection="1">
      <alignment horizontal="center"/>
    </xf>
    <xf numFmtId="0" fontId="5" fillId="3" borderId="30" xfId="0" applyFont="1" applyFill="1" applyBorder="1" applyAlignment="1" applyProtection="1"/>
    <xf numFmtId="164" fontId="5" fillId="0" borderId="8" xfId="1" quotePrefix="1" applyNumberFormat="1" applyFont="1" applyBorder="1" applyAlignment="1" applyProtection="1">
      <alignment horizontal="center"/>
    </xf>
    <xf numFmtId="1" fontId="5" fillId="11" borderId="46" xfId="1" applyNumberFormat="1" applyFont="1" applyFill="1" applyBorder="1" applyAlignment="1" applyProtection="1">
      <alignment horizontal="center"/>
    </xf>
    <xf numFmtId="0" fontId="0" fillId="5" borderId="0" xfId="0" applyFill="1"/>
    <xf numFmtId="0" fontId="17" fillId="0" borderId="0" xfId="0" applyFont="1" applyFill="1" applyAlignment="1" applyProtection="1">
      <alignment wrapText="1"/>
    </xf>
    <xf numFmtId="164" fontId="26" fillId="0" borderId="0" xfId="1" applyNumberFormat="1" applyFont="1" applyFill="1"/>
    <xf numFmtId="0" fontId="17" fillId="17" borderId="28" xfId="0" applyFont="1" applyFill="1" applyBorder="1" applyProtection="1"/>
    <xf numFmtId="0" fontId="17" fillId="17" borderId="29" xfId="0" applyFont="1" applyFill="1" applyBorder="1" applyProtection="1"/>
    <xf numFmtId="0" fontId="17" fillId="17" borderId="30" xfId="0" applyFont="1" applyFill="1" applyBorder="1" applyAlignment="1" applyProtection="1">
      <alignment horizontal="right"/>
    </xf>
    <xf numFmtId="164" fontId="23" fillId="0" borderId="8" xfId="1" applyNumberFormat="1" applyFont="1" applyBorder="1" applyAlignment="1" applyProtection="1">
      <alignment horizontal="center" wrapText="1"/>
    </xf>
  </cellXfs>
  <cellStyles count="3">
    <cellStyle name="Comma" xfId="1" builtinId="3"/>
    <cellStyle name="Normal" xfId="0" builtinId="0"/>
    <cellStyle name="Percent" xfId="2" builtinId="5"/>
  </cellStyles>
  <dxfs count="778">
    <dxf>
      <fill>
        <patternFill>
          <fgColor indexed="64"/>
          <bgColor theme="6" tint="0.39997558519241921"/>
        </patternFill>
      </fill>
    </dxf>
    <dxf>
      <font>
        <strike val="0"/>
        <outline val="0"/>
        <shadow val="0"/>
        <u val="none"/>
        <vertAlign val="baseline"/>
        <sz val="12"/>
        <color auto="1"/>
        <name val="Arial"/>
        <scheme val="none"/>
      </font>
      <numFmt numFmtId="164" formatCode="_(* #,##0_);_(* \(#,##0\);_(* &quot;-&quot;??_);_(@_)"/>
      <fill>
        <patternFill patternType="solid">
          <fgColor indexed="64"/>
          <bgColor theme="6" tint="0.39997558519241921"/>
        </patternFill>
      </fill>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border diagonalUp="0" diagonalDown="0" outline="0">
        <left/>
        <right/>
        <top/>
        <bottom/>
      </border>
      <protection locked="1" hidden="0"/>
    </dxf>
    <dxf>
      <alignment horizontal="general" vertical="bottom" textRotation="0" wrapText="1" indent="0" relativeIndent="0" justifyLastLine="0" shrinkToFit="0" mergeCell="0" readingOrder="0"/>
      <border diagonalUp="0" diagonalDown="0" outline="0">
        <left/>
        <right/>
        <top/>
        <bottom/>
      </border>
      <protection locked="1" hidden="0"/>
    </dxf>
    <dxf>
      <font>
        <strike val="0"/>
        <outline val="0"/>
        <shadow val="0"/>
        <u val="none"/>
        <vertAlign val="baseline"/>
        <sz val="12"/>
        <color theme="3" tint="-0.249977111117893"/>
        <name val="Arial"/>
        <scheme val="none"/>
      </font>
      <numFmt numFmtId="0" formatCode="General"/>
      <protection locked="1" hidden="0"/>
    </dxf>
    <dxf>
      <font>
        <b val="0"/>
        <i val="0"/>
        <strike val="0"/>
        <condense val="0"/>
        <extend val="0"/>
        <outline val="0"/>
        <shadow val="0"/>
        <u val="none"/>
        <vertAlign val="baseline"/>
        <sz val="12"/>
        <color theme="3" tint="-0.249977111117893"/>
        <name val="Arial"/>
        <scheme val="none"/>
      </font>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numFmt numFmtId="14" formatCode="0.00%"/>
      <border diagonalUp="0" diagonalDown="0" outline="0">
        <left/>
        <right/>
        <top/>
        <bottom/>
      </border>
      <protection locked="1" hidden="0"/>
    </dxf>
    <dxf>
      <font>
        <b val="0"/>
        <i val="0"/>
        <strike val="0"/>
        <condense val="0"/>
        <extend val="0"/>
        <outline val="0"/>
        <shadow val="0"/>
        <u val="none"/>
        <vertAlign val="baseline"/>
        <sz val="12"/>
        <color theme="3" tint="-0.249977111117893"/>
        <name val="Arial"/>
        <scheme val="none"/>
      </font>
      <alignment horizontal="general" vertical="bottom" textRotation="0" wrapText="1" indent="0" relativeIndent="0" justifyLastLine="0" shrinkToFit="0" mergeCell="0" readingOrder="0"/>
      <border diagonalUp="0" diagonalDown="0" outline="0">
        <left/>
        <right/>
        <top/>
        <bottom/>
      </border>
      <protection locked="1" hidden="0"/>
    </dxf>
    <dxf>
      <font>
        <b/>
        <i val="0"/>
        <strike val="0"/>
        <condense val="0"/>
        <extend val="0"/>
        <outline val="0"/>
        <shadow val="0"/>
        <u val="none"/>
        <vertAlign val="baseline"/>
        <sz val="12"/>
        <color auto="1"/>
        <name val="Arial"/>
        <scheme val="none"/>
      </font>
      <numFmt numFmtId="0" formatCode="General"/>
      <fill>
        <patternFill patternType="solid">
          <fgColor indexed="64"/>
          <bgColor theme="5" tint="0.59999389629810485"/>
        </patternFill>
      </fill>
      <alignment horizontal="general" vertical="bottom" textRotation="0" wrapText="1" indent="0" relativeIndent="0" justifyLastLine="0" shrinkToFit="0" mergeCell="0" readingOrder="0"/>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4" formatCode="0.00%"/>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alignment horizontal="general" vertical="bottom" textRotation="0" wrapText="1" indent="0" relativeIndent="0" justifyLastLine="0" shrinkToFit="0" mergeCell="0" readingOrder="0"/>
      <border diagonalUp="0" diagonalDown="0" outline="0">
        <left/>
        <right/>
        <top/>
        <bottom/>
      </border>
      <protection locked="1" hidden="0"/>
    </dxf>
    <dxf>
      <border diagonalUp="0" diagonalDown="0" outline="0">
        <left/>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dxf>
    <dxf>
      <font>
        <b val="0"/>
        <i val="0"/>
        <strike val="0"/>
        <condense val="0"/>
        <extend val="0"/>
        <outline val="0"/>
        <shadow val="0"/>
        <u val="none"/>
        <vertAlign val="baseline"/>
        <sz val="10"/>
        <color theme="1"/>
        <name val="Arial"/>
        <scheme val="none"/>
      </font>
      <numFmt numFmtId="14" formatCode="0.00%"/>
      <protection locked="1" hidden="0"/>
    </dxf>
    <dxf>
      <font>
        <b val="0"/>
        <i val="0"/>
        <strike val="0"/>
        <condense val="0"/>
        <extend val="0"/>
        <outline val="0"/>
        <shadow val="0"/>
        <u val="none"/>
        <vertAlign val="baseline"/>
        <sz val="10"/>
        <color theme="1"/>
        <name val="Arial"/>
        <scheme val="none"/>
      </font>
      <numFmt numFmtId="14" formatCode="0.00%"/>
    </dxf>
    <dxf>
      <font>
        <b val="0"/>
        <i val="0"/>
        <strike val="0"/>
        <condense val="0"/>
        <extend val="0"/>
        <outline val="0"/>
        <shadow val="0"/>
        <u val="none"/>
        <vertAlign val="baseline"/>
        <sz val="10"/>
        <color theme="1"/>
        <name val="Arial"/>
        <scheme val="none"/>
      </font>
      <numFmt numFmtId="164" formatCode="_(* #,##0_);_(* \(#,##0\);_(* &quot;-&quot;??_);_(@_)"/>
      <alignment textRotation="0" wrapText="1" indent="0" relativeIndent="255" justifyLastLine="0" shrinkToFit="0" readingOrder="0"/>
      <protection locked="1" hidden="0"/>
    </dxf>
    <dxf>
      <font>
        <b val="0"/>
        <i val="0"/>
        <strike val="0"/>
        <condense val="0"/>
        <extend val="0"/>
        <outline val="0"/>
        <shadow val="0"/>
        <u val="none"/>
        <vertAlign val="baseline"/>
        <sz val="10"/>
        <color theme="1"/>
        <name val="Arial"/>
        <scheme val="none"/>
      </font>
      <numFmt numFmtId="164" formatCode="_(* #,##0_);_(* \(#,##0\);_(* &quot;-&quot;??_);_(@_)"/>
    </dxf>
    <dxf>
      <protection locked="1" hidden="0"/>
    </dxf>
    <dxf>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strike val="0"/>
        <outline val="0"/>
        <shadow val="0"/>
        <u val="none"/>
        <vertAlign val="baseline"/>
        <sz val="12"/>
        <name val="Arial"/>
        <scheme val="none"/>
      </font>
      <numFmt numFmtId="164" formatCode="_(* #,##0_);_(* \(#,##0\);_(* &quot;-&quot;??_);_(@_)"/>
      <fill>
        <patternFill>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5" formatCode="0.0%"/>
      <fill>
        <patternFill>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4" formatCode="_(* #,##0_);_(* \(#,##0\);_(* &quot;-&quot;??_);_(@_)"/>
      <fill>
        <patternFill>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5" formatCode="0.0%"/>
      <fill>
        <patternFill>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4" formatCode="_(* #,##0_);_(* \(#,##0\);_(* &quot;-&quot;??_);_(@_)"/>
      <protection locked="1" hidden="0"/>
    </dxf>
    <dxf>
      <font>
        <strike val="0"/>
        <outline val="0"/>
        <shadow val="0"/>
        <u val="none"/>
        <vertAlign val="baseline"/>
        <sz val="12"/>
        <name val="Arial"/>
        <scheme val="none"/>
      </font>
      <numFmt numFmtId="165" formatCode="0.0%"/>
      <protection locked="1" hidden="0"/>
    </dxf>
    <dxf>
      <numFmt numFmtId="14" formatCode="0.00%"/>
    </dxf>
    <dxf>
      <font>
        <strike val="0"/>
        <outline val="0"/>
        <shadow val="0"/>
        <u val="none"/>
        <vertAlign val="baseline"/>
        <sz val="12"/>
        <name val="Arial"/>
        <scheme val="none"/>
      </font>
      <numFmt numFmtId="164" formatCode="_(* #,##0_);_(* \(#,##0\);_(* &quot;-&quot;??_);_(@_)"/>
      <protection locked="1" hidden="0"/>
    </dxf>
    <dxf>
      <font>
        <strike val="0"/>
        <outline val="0"/>
        <shadow val="0"/>
        <u val="none"/>
        <vertAlign val="baseline"/>
        <sz val="12"/>
        <name val="Arial"/>
        <scheme val="none"/>
      </font>
      <numFmt numFmtId="165" formatCode="0.0%"/>
      <protection locked="1" hidden="0"/>
    </dxf>
    <dxf>
      <numFmt numFmtId="14" formatCode="0.00%"/>
    </dxf>
    <dxf>
      <font>
        <strike val="0"/>
        <outline val="0"/>
        <shadow val="0"/>
        <u val="none"/>
        <vertAlign val="baseline"/>
        <sz val="12"/>
        <name val="Arial"/>
        <scheme val="none"/>
      </font>
      <numFmt numFmtId="164" formatCode="_(* #,##0_);_(* \(#,##0\);_(* &quot;-&quot;??_);_(@_)"/>
      <protection locked="1" hidden="0"/>
    </dxf>
    <dxf>
      <font>
        <strike val="0"/>
        <outline val="0"/>
        <shadow val="0"/>
        <u val="none"/>
        <vertAlign val="baseline"/>
        <sz val="12"/>
        <name val="Arial"/>
        <scheme val="none"/>
      </font>
      <numFmt numFmtId="165" formatCode="0.0%"/>
      <protection locked="1" hidden="0"/>
    </dxf>
    <dxf>
      <numFmt numFmtId="14" formatCode="0.00%"/>
    </dxf>
    <dxf>
      <font>
        <strike val="0"/>
        <outline val="0"/>
        <shadow val="0"/>
        <u val="none"/>
        <vertAlign val="baseline"/>
        <sz val="12"/>
        <name val="Arial"/>
        <scheme val="none"/>
      </font>
      <numFmt numFmtId="164" formatCode="_(* #,##0_);_(* \(#,##0\);_(* &quot;-&quot;??_);_(@_)"/>
      <protection locked="1" hidden="0"/>
    </dxf>
    <dxf>
      <font>
        <strike val="0"/>
        <outline val="0"/>
        <shadow val="0"/>
        <u val="none"/>
        <vertAlign val="baseline"/>
        <sz val="12"/>
        <name val="Arial"/>
        <scheme val="none"/>
      </font>
      <numFmt numFmtId="165" formatCode="0.0%"/>
      <protection locked="1" hidden="0"/>
    </dxf>
    <dxf>
      <numFmt numFmtId="14" formatCode="0.00%"/>
    </dxf>
    <dxf>
      <font>
        <strike val="0"/>
        <outline val="0"/>
        <shadow val="0"/>
        <u val="none"/>
        <vertAlign val="baseline"/>
        <sz val="12"/>
        <name val="Arial"/>
        <scheme val="none"/>
      </font>
      <numFmt numFmtId="164" formatCode="_(* #,##0_);_(* \(#,##0\);_(* &quot;-&quot;??_);_(@_)"/>
      <protection locked="1" hidden="0"/>
    </dxf>
    <dxf>
      <font>
        <strike val="0"/>
        <outline val="0"/>
        <shadow val="0"/>
        <u val="none"/>
        <vertAlign val="baseline"/>
        <sz val="12"/>
        <name val="Arial"/>
        <scheme val="none"/>
      </font>
      <numFmt numFmtId="165" formatCode="0.0%"/>
      <protection locked="1" hidden="0"/>
    </dxf>
    <dxf>
      <numFmt numFmtId="14" formatCode="0.00%"/>
    </dxf>
    <dxf>
      <font>
        <strike val="0"/>
        <outline val="0"/>
        <shadow val="0"/>
        <u val="none"/>
        <vertAlign val="baseline"/>
        <sz val="12"/>
        <name val="Arial"/>
        <scheme val="none"/>
      </font>
      <protection locked="1" hidden="0"/>
    </dxf>
    <dxf>
      <font>
        <strike val="0"/>
        <outline val="0"/>
        <shadow val="0"/>
        <u val="none"/>
        <vertAlign val="baseline"/>
        <sz val="12"/>
        <name val="Arial"/>
        <scheme val="none"/>
      </font>
      <protection locked="1" hidden="0"/>
    </dxf>
    <dxf>
      <font>
        <strike val="0"/>
        <outline val="0"/>
        <shadow val="0"/>
        <u val="none"/>
        <vertAlign val="baseline"/>
        <sz val="12"/>
        <name val="Arial"/>
        <scheme val="none"/>
      </font>
      <protection locked="1" hidden="0"/>
    </dxf>
    <dxf>
      <font>
        <strike val="0"/>
        <outline val="0"/>
        <shadow val="0"/>
        <u val="none"/>
        <vertAlign val="baseline"/>
        <sz val="12"/>
        <name val="Arial"/>
        <scheme val="none"/>
      </font>
      <numFmt numFmtId="164" formatCode="_(* #,##0_);_(* \(#,##0\);_(* &quot;-&quot;??_);_(@_)"/>
      <fill>
        <patternFill patternType="solid">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5" formatCode="0.0%"/>
      <fill>
        <patternFill patternType="solid">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4" formatCode="_(* #,##0_);_(* \(#,##0\);_(* &quot;-&quot;??_);_(@_)"/>
      <fill>
        <patternFill patternType="solid">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5" formatCode="0.0%"/>
      <fill>
        <patternFill patternType="solid">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4" formatCode="_(* #,##0_);_(* \(#,##0\);_(* &quot;-&quot;??_);_(@_)"/>
      <fill>
        <patternFill patternType="solid">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5" formatCode="0.0%"/>
      <fill>
        <patternFill patternType="solid">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4" formatCode="_(* #,##0_);_(* \(#,##0\);_(* &quot;-&quot;??_);_(@_)"/>
      <fill>
        <patternFill patternType="solid">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5" formatCode="0.0%"/>
      <fill>
        <patternFill patternType="solid">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4" formatCode="_(* #,##0_);_(* \(#,##0\);_(* &quot;-&quot;??_);_(@_)"/>
      <fill>
        <patternFill patternType="solid">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5" formatCode="0.0%"/>
      <fill>
        <patternFill patternType="solid">
          <fgColor indexed="64"/>
          <bgColor theme="6" tint="0.59999389629810485"/>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scheme val="none"/>
      </font>
    </dxf>
    <dxf>
      <font>
        <strike val="0"/>
        <outline val="0"/>
        <shadow val="0"/>
        <u val="none"/>
        <vertAlign val="baseline"/>
        <sz val="12"/>
        <name val="Arial"/>
        <scheme val="none"/>
      </font>
      <numFmt numFmtId="164" formatCode="_(* #,##0_);_(* \(#,##0\);_(* &quot;-&quot;??_);_(@_)"/>
      <protection locked="1" hidden="0"/>
    </dxf>
    <dxf>
      <font>
        <strike val="0"/>
        <outline val="0"/>
        <shadow val="0"/>
        <u val="none"/>
        <vertAlign val="baseline"/>
        <sz val="12"/>
        <name val="Arial"/>
        <scheme val="none"/>
      </font>
      <numFmt numFmtId="165" formatCode="0.0%"/>
      <protection locked="1" hidden="0"/>
    </dxf>
    <dxf>
      <font>
        <strike val="0"/>
        <outline val="0"/>
        <shadow val="0"/>
        <u val="none"/>
        <vertAlign val="baseline"/>
        <sz val="12"/>
        <name val="Arial"/>
        <scheme val="none"/>
      </font>
      <numFmt numFmtId="164" formatCode="_(* #,##0_);_(* \(#,##0\);_(* &quot;-&quot;??_);_(@_)"/>
      <protection locked="1" hidden="0"/>
    </dxf>
    <dxf>
      <font>
        <strike val="0"/>
        <outline val="0"/>
        <shadow val="0"/>
        <u val="none"/>
        <vertAlign val="baseline"/>
        <sz val="12"/>
        <name val="Arial"/>
        <scheme val="none"/>
      </font>
      <numFmt numFmtId="165" formatCode="0.0%"/>
      <protection locked="1" hidden="0"/>
    </dxf>
    <dxf>
      <font>
        <strike val="0"/>
        <outline val="0"/>
        <shadow val="0"/>
        <u val="none"/>
        <vertAlign val="baseline"/>
        <sz val="12"/>
        <name val="Arial"/>
        <scheme val="none"/>
      </font>
      <numFmt numFmtId="164" formatCode="_(* #,##0_);_(* \(#,##0\);_(* &quot;-&quot;??_);_(@_)"/>
      <protection locked="1" hidden="0"/>
    </dxf>
    <dxf>
      <font>
        <strike val="0"/>
        <outline val="0"/>
        <shadow val="0"/>
        <u val="none"/>
        <vertAlign val="baseline"/>
        <sz val="12"/>
        <name val="Arial"/>
        <scheme val="none"/>
      </font>
      <numFmt numFmtId="165" formatCode="0.0%"/>
      <protection locked="1" hidden="0"/>
    </dxf>
    <dxf>
      <font>
        <strike val="0"/>
        <outline val="0"/>
        <shadow val="0"/>
        <u val="none"/>
        <vertAlign val="baseline"/>
        <sz val="12"/>
        <name val="Arial"/>
        <scheme val="none"/>
      </font>
      <numFmt numFmtId="164" formatCode="_(* #,##0_);_(* \(#,##0\);_(* &quot;-&quot;??_);_(@_)"/>
      <protection locked="1" hidden="0"/>
    </dxf>
    <dxf>
      <font>
        <strike val="0"/>
        <outline val="0"/>
        <shadow val="0"/>
        <u val="none"/>
        <vertAlign val="baseline"/>
        <sz val="12"/>
        <name val="Arial"/>
        <scheme val="none"/>
      </font>
      <numFmt numFmtId="165" formatCode="0.0%"/>
      <protection locked="1" hidden="0"/>
    </dxf>
    <dxf>
      <font>
        <strike val="0"/>
        <outline val="0"/>
        <shadow val="0"/>
        <u val="none"/>
        <vertAlign val="baseline"/>
        <sz val="12"/>
        <name val="Arial"/>
        <scheme val="none"/>
      </font>
      <numFmt numFmtId="164" formatCode="_(* #,##0_);_(* \(#,##0\);_(* &quot;-&quot;??_);_(@_)"/>
      <protection locked="1" hidden="0"/>
    </dxf>
    <dxf>
      <font>
        <strike val="0"/>
        <outline val="0"/>
        <shadow val="0"/>
        <u val="none"/>
        <vertAlign val="baseline"/>
        <sz val="12"/>
        <name val="Arial"/>
        <scheme val="none"/>
      </font>
      <numFmt numFmtId="165" formatCode="0.0%"/>
      <protection locked="1" hidden="0"/>
    </dxf>
    <dxf>
      <font>
        <strike val="0"/>
        <outline val="0"/>
        <shadow val="0"/>
        <u val="none"/>
        <vertAlign val="baseline"/>
        <sz val="12"/>
        <name val="Arial"/>
        <scheme val="none"/>
      </font>
      <protection locked="1" hidden="0"/>
    </dxf>
    <dxf>
      <font>
        <strike val="0"/>
        <outline val="0"/>
        <shadow val="0"/>
        <u val="none"/>
        <vertAlign val="baseline"/>
        <sz val="12"/>
        <name val="Arial"/>
        <scheme val="none"/>
      </font>
      <protection locked="1" hidden="0"/>
    </dxf>
    <dxf>
      <font>
        <strike val="0"/>
        <outline val="0"/>
        <shadow val="0"/>
        <u val="none"/>
        <vertAlign val="baseline"/>
        <sz val="12"/>
        <name val="Arial"/>
        <scheme val="none"/>
      </font>
      <protection locked="1" hidden="0"/>
    </dxf>
    <dxf>
      <font>
        <strike val="0"/>
        <outline val="0"/>
        <shadow val="0"/>
        <u val="none"/>
        <vertAlign val="baseline"/>
        <sz val="12"/>
        <color theme="3" tint="-0.249977111117893"/>
        <name val="Arial"/>
        <scheme val="none"/>
      </font>
      <fill>
        <patternFill patternType="solid">
          <fgColor indexed="64"/>
          <bgColor theme="6" tint="0.59999389629810485"/>
        </patternFill>
      </fill>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fill>
        <patternFill patternType="solid">
          <fgColor indexed="64"/>
          <bgColor theme="6" tint="0.59999389629810485"/>
        </patternFill>
      </fill>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fill>
        <patternFill patternType="solid">
          <fgColor indexed="64"/>
          <bgColor theme="6" tint="0.59999389629810485"/>
        </patternFill>
      </fill>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fill>
        <patternFill patternType="solid">
          <fgColor indexed="64"/>
          <bgColor theme="6" tint="0.59999389629810485"/>
        </patternFill>
      </fill>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numFmt numFmtId="164" formatCode="_(* #,##0_);_(* \(#,##0\);_(* &quot;-&quot;??_);_(@_)"/>
      <fill>
        <patternFill patternType="solid">
          <fgColor indexed="64"/>
          <bgColor theme="6" tint="0.59999389629810485"/>
        </patternFill>
      </fill>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fill>
        <patternFill patternType="none">
          <fgColor indexed="64"/>
          <bgColor indexed="65"/>
        </patternFill>
      </fill>
      <protection locked="1" hidden="0"/>
    </dxf>
    <dxf>
      <font>
        <strike val="0"/>
        <outline val="0"/>
        <shadow val="0"/>
        <u val="none"/>
        <vertAlign val="baseline"/>
        <sz val="12"/>
        <color theme="3" tint="-0.249977111117893"/>
        <name val="Arial"/>
        <scheme val="none"/>
      </font>
      <fill>
        <patternFill patternType="none">
          <fgColor indexed="64"/>
          <bgColor indexed="65"/>
        </patternFill>
      </fill>
      <protection locked="1" hidden="0"/>
    </dxf>
    <dxf>
      <font>
        <strike val="0"/>
        <outline val="0"/>
        <shadow val="0"/>
        <u val="none"/>
        <vertAlign val="baseline"/>
        <sz val="12"/>
        <color theme="3" tint="-0.249977111117893"/>
        <name val="Arial"/>
        <scheme val="none"/>
      </font>
      <fill>
        <patternFill patternType="none">
          <fgColor indexed="64"/>
          <bgColor indexed="65"/>
        </patternFill>
      </fill>
      <protection locked="1" hidden="0"/>
    </dxf>
    <dxf>
      <font>
        <strike val="0"/>
        <outline val="0"/>
        <shadow val="0"/>
        <u val="none"/>
        <vertAlign val="baseline"/>
        <sz val="12"/>
        <color theme="3" tint="-0.249977111117893"/>
        <name val="Arial"/>
        <scheme val="none"/>
      </font>
      <fill>
        <patternFill patternType="none">
          <fgColor indexed="64"/>
          <bgColor indexed="65"/>
        </patternFill>
      </fill>
      <protection locked="1" hidden="0"/>
    </dxf>
    <dxf>
      <font>
        <strike val="0"/>
        <outline val="0"/>
        <shadow val="0"/>
        <u val="none"/>
        <vertAlign val="baseline"/>
        <sz val="12"/>
        <color theme="3" tint="-0.249977111117893"/>
        <name val="Arial"/>
        <scheme val="none"/>
      </font>
      <fill>
        <patternFill patternType="none">
          <fgColor indexed="64"/>
          <bgColor indexed="65"/>
        </patternFill>
      </fill>
      <protection locked="1" hidden="0"/>
    </dxf>
    <dxf>
      <font>
        <strike val="0"/>
        <outline val="0"/>
        <shadow val="0"/>
        <u val="none"/>
        <vertAlign val="baseline"/>
        <sz val="12"/>
        <color theme="3" tint="-0.249977111117893"/>
        <name val="Arial"/>
        <scheme val="none"/>
      </font>
      <fill>
        <patternFill patternType="none">
          <fgColor indexed="64"/>
          <bgColor indexed="65"/>
        </patternFill>
      </fill>
      <protection locked="1" hidden="0"/>
    </dxf>
    <dxf>
      <font>
        <strike val="0"/>
        <outline val="0"/>
        <shadow val="0"/>
        <u val="none"/>
        <vertAlign val="baseline"/>
        <sz val="12"/>
        <color theme="3" tint="-0.249977111117893"/>
        <name val="Arial"/>
        <scheme val="none"/>
      </font>
      <numFmt numFmtId="3" formatCode="#,##0"/>
      <fill>
        <patternFill patternType="none">
          <fgColor indexed="64"/>
          <bgColor indexed="65"/>
        </patternFill>
      </fill>
      <protection locked="1" hidden="0"/>
    </dxf>
    <dxf>
      <numFmt numFmtId="3" formatCode="#,##0"/>
    </dxf>
    <dxf>
      <font>
        <strike val="0"/>
        <outline val="0"/>
        <shadow val="0"/>
        <u val="none"/>
        <vertAlign val="baseline"/>
        <sz val="12"/>
        <color theme="3" tint="-0.249977111117893"/>
        <name val="Arial"/>
        <scheme val="none"/>
      </font>
      <fill>
        <patternFill patternType="none">
          <fgColor indexed="64"/>
          <bgColor indexed="65"/>
        </patternFill>
      </fill>
      <protection locked="1" hidden="0"/>
    </dxf>
    <dxf>
      <font>
        <strike val="0"/>
        <outline val="0"/>
        <shadow val="0"/>
        <u val="none"/>
        <vertAlign val="baseline"/>
        <sz val="12"/>
        <color theme="3" tint="-0.249977111117893"/>
        <name val="Arial"/>
        <scheme val="none"/>
      </font>
      <fill>
        <patternFill patternType="none">
          <fgColor indexed="64"/>
          <bgColor indexed="65"/>
        </patternFill>
      </fill>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numFmt numFmtId="3" formatCode="#,##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alignment textRotation="0" wrapText="1" indent="0" relativeIndent="255" justifyLastLine="0" shrinkToFit="0" readingOrder="0"/>
      <protection locked="1" hidden="0"/>
    </dxf>
    <dxf>
      <border outline="0">
        <bottom style="medium">
          <color indexed="64"/>
        </bottom>
      </border>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numFmt numFmtId="35" formatCode="_(* #,##0.00_);_(* \(#,##0.00\);_(* &quot;-&quot;??_);_(@_)"/>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numFmt numFmtId="3" formatCode="#,##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alignment textRotation="0" wrapText="1" indent="0" relativeIndent="255" justifyLastLine="0" shrinkToFit="0" readingOrder="0"/>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numFmt numFmtId="164" formatCode="_(* #,##0_);_(* \(#,##0\);_(* &quot;-&quot;??_);_(@_)"/>
      <protection locked="1" hidden="0"/>
    </dxf>
    <dxf>
      <font>
        <b/>
        <i val="0"/>
        <strike val="0"/>
        <condense val="0"/>
        <extend val="0"/>
        <outline val="0"/>
        <shadow val="0"/>
        <u val="none"/>
        <vertAlign val="baseline"/>
        <sz val="10"/>
        <color theme="1"/>
        <name val="Arial"/>
        <scheme val="none"/>
      </font>
    </dxf>
    <dxf>
      <font>
        <strike val="0"/>
        <outline val="0"/>
        <shadow val="0"/>
        <u val="none"/>
        <vertAlign val="baseline"/>
        <sz val="12"/>
        <color theme="3" tint="-0.249977111117893"/>
        <name val="Arial"/>
        <scheme val="none"/>
      </font>
      <numFmt numFmtId="164" formatCode="_(* #,##0_);_(* \(#,##0\);_(* &quot;-&quot;??_);_(@_)"/>
      <protection locked="1" hidden="0"/>
    </dxf>
    <dxf>
      <font>
        <b/>
        <i val="0"/>
        <strike val="0"/>
        <condense val="0"/>
        <extend val="0"/>
        <outline val="0"/>
        <shadow val="0"/>
        <u val="none"/>
        <vertAlign val="baseline"/>
        <sz val="10"/>
        <color theme="1"/>
        <name val="Arial"/>
        <scheme val="none"/>
      </font>
    </dxf>
    <dxf>
      <font>
        <strike val="0"/>
        <outline val="0"/>
        <shadow val="0"/>
        <u val="none"/>
        <vertAlign val="baseline"/>
        <sz val="12"/>
        <color theme="3" tint="-0.249977111117893"/>
        <name val="Arial"/>
        <scheme val="none"/>
      </font>
      <numFmt numFmtId="164" formatCode="_(* #,##0_);_(* \(#,##0\);_(* &quot;-&quot;??_);_(@_)"/>
      <protection locked="1" hidden="0"/>
    </dxf>
    <dxf>
      <font>
        <b/>
        <i val="0"/>
        <strike val="0"/>
        <condense val="0"/>
        <extend val="0"/>
        <outline val="0"/>
        <shadow val="0"/>
        <u val="none"/>
        <vertAlign val="baseline"/>
        <sz val="10"/>
        <color theme="1"/>
        <name val="Arial"/>
        <scheme val="none"/>
      </font>
    </dxf>
    <dxf>
      <font>
        <strike val="0"/>
        <outline val="0"/>
        <shadow val="0"/>
        <u val="none"/>
        <vertAlign val="baseline"/>
        <sz val="12"/>
        <color theme="3" tint="-0.249977111117893"/>
        <name val="Arial"/>
        <scheme val="none"/>
      </font>
      <numFmt numFmtId="164" formatCode="_(* #,##0_);_(* \(#,##0\);_(* &quot;-&quot;??_);_(@_)"/>
      <protection locked="1" hidden="0"/>
    </dxf>
    <dxf>
      <font>
        <b/>
        <i val="0"/>
        <strike val="0"/>
        <condense val="0"/>
        <extend val="0"/>
        <outline val="0"/>
        <shadow val="0"/>
        <u val="none"/>
        <vertAlign val="baseline"/>
        <sz val="10"/>
        <color theme="1"/>
        <name val="Arial"/>
        <scheme val="none"/>
      </font>
    </dxf>
    <dxf>
      <font>
        <strike val="0"/>
        <outline val="0"/>
        <shadow val="0"/>
        <u val="none"/>
        <vertAlign val="baseline"/>
        <sz val="12"/>
        <color theme="3" tint="-0.249977111117893"/>
        <name val="Arial"/>
        <scheme val="none"/>
      </font>
      <numFmt numFmtId="164" formatCode="_(* #,##0_);_(* \(#,##0\);_(* &quot;-&quot;??_);_(@_)"/>
      <protection locked="1" hidden="0"/>
    </dxf>
    <dxf>
      <font>
        <b/>
        <i val="0"/>
        <strike val="0"/>
        <condense val="0"/>
        <extend val="0"/>
        <outline val="0"/>
        <shadow val="0"/>
        <u val="none"/>
        <vertAlign val="baseline"/>
        <sz val="10"/>
        <color theme="1"/>
        <name val="Arial"/>
        <scheme val="none"/>
      </font>
    </dxf>
    <dxf>
      <font>
        <strike val="0"/>
        <outline val="0"/>
        <shadow val="0"/>
        <u val="none"/>
        <vertAlign val="baseline"/>
        <sz val="12"/>
        <color theme="3" tint="-0.249977111117893"/>
        <name val="Arial"/>
        <scheme val="none"/>
      </font>
      <numFmt numFmtId="164" formatCode="_(* #,##0_);_(* \(#,##0\);_(* &quot;-&quot;??_);_(@_)"/>
      <protection locked="1" hidden="0"/>
    </dxf>
    <dxf>
      <font>
        <b/>
        <i val="0"/>
        <strike val="0"/>
        <condense val="0"/>
        <extend val="0"/>
        <outline val="0"/>
        <shadow val="0"/>
        <u val="none"/>
        <vertAlign val="baseline"/>
        <sz val="10"/>
        <color theme="1"/>
        <name val="Arial"/>
        <scheme val="none"/>
      </font>
    </dxf>
    <dxf>
      <font>
        <strike val="0"/>
        <outline val="0"/>
        <shadow val="0"/>
        <u val="none"/>
        <vertAlign val="baseline"/>
        <sz val="12"/>
        <color theme="3" tint="-0.249977111117893"/>
        <name val="Arial"/>
        <scheme val="none"/>
      </font>
      <numFmt numFmtId="164" formatCode="_(* #,##0_);_(* \(#,##0\);_(* &quot;-&quot;??_);_(@_)"/>
      <protection locked="1" hidden="0"/>
    </dxf>
    <dxf>
      <font>
        <b/>
        <i val="0"/>
        <strike val="0"/>
        <condense val="0"/>
        <extend val="0"/>
        <outline val="0"/>
        <shadow val="0"/>
        <u val="none"/>
        <vertAlign val="baseline"/>
        <sz val="10"/>
        <color theme="1"/>
        <name val="Arial"/>
        <scheme val="none"/>
      </font>
    </dxf>
    <dxf>
      <font>
        <strike val="0"/>
        <outline val="0"/>
        <shadow val="0"/>
        <u val="none"/>
        <vertAlign val="baseline"/>
        <sz val="12"/>
        <color theme="3" tint="-0.249977111117893"/>
        <name val="Arial"/>
        <scheme val="none"/>
      </font>
      <numFmt numFmtId="164" formatCode="_(* #,##0_);_(* \(#,##0\);_(* &quot;-&quot;??_);_(@_)"/>
      <protection locked="1" hidden="0"/>
    </dxf>
    <dxf>
      <font>
        <b/>
        <i val="0"/>
        <strike val="0"/>
        <condense val="0"/>
        <extend val="0"/>
        <outline val="0"/>
        <shadow val="0"/>
        <u val="none"/>
        <vertAlign val="baseline"/>
        <sz val="10"/>
        <color theme="1"/>
        <name val="Arial"/>
        <scheme val="none"/>
      </font>
    </dxf>
    <dxf>
      <font>
        <strike val="0"/>
        <outline val="0"/>
        <shadow val="0"/>
        <u val="none"/>
        <vertAlign val="baseline"/>
        <sz val="12"/>
        <color theme="3" tint="-0.249977111117893"/>
        <name val="Arial"/>
        <scheme val="none"/>
      </font>
      <numFmt numFmtId="164" formatCode="_(* #,##0_);_(* \(#,##0\);_(* &quot;-&quot;??_);_(@_)"/>
      <protection locked="1" hidden="0"/>
    </dxf>
    <dxf>
      <font>
        <b/>
        <i val="0"/>
        <strike val="0"/>
        <condense val="0"/>
        <extend val="0"/>
        <outline val="0"/>
        <shadow val="0"/>
        <u val="none"/>
        <vertAlign val="baseline"/>
        <sz val="10"/>
        <color theme="1"/>
        <name val="Arial"/>
        <scheme val="none"/>
      </font>
    </dxf>
    <dxf>
      <font>
        <strike val="0"/>
        <outline val="0"/>
        <shadow val="0"/>
        <u val="none"/>
        <vertAlign val="baseline"/>
        <sz val="12"/>
        <color theme="3" tint="-0.249977111117893"/>
        <name val="Arial"/>
        <scheme val="none"/>
      </font>
      <numFmt numFmtId="164" formatCode="_(* #,##0_);_(* \(#,##0\);_(* &quot;-&quot;??_);_(@_)"/>
      <protection locked="1" hidden="0"/>
    </dxf>
    <dxf>
      <font>
        <b/>
        <i val="0"/>
        <strike val="0"/>
        <condense val="0"/>
        <extend val="0"/>
        <outline val="0"/>
        <shadow val="0"/>
        <u val="none"/>
        <vertAlign val="baseline"/>
        <sz val="10"/>
        <color theme="1"/>
        <name val="Arial"/>
        <scheme val="none"/>
      </font>
    </dxf>
    <dxf>
      <font>
        <strike val="0"/>
        <outline val="0"/>
        <shadow val="0"/>
        <u val="none"/>
        <vertAlign val="baseline"/>
        <sz val="12"/>
        <color theme="3" tint="-0.249977111117893"/>
        <name val="Arial"/>
        <scheme val="none"/>
      </font>
      <numFmt numFmtId="164" formatCode="_(* #,##0_);_(* \(#,##0\);_(* &quot;-&quot;??_);_(@_)"/>
      <protection locked="1" hidden="0"/>
    </dxf>
    <dxf>
      <font>
        <b/>
        <i val="0"/>
        <strike val="0"/>
        <condense val="0"/>
        <extend val="0"/>
        <outline val="0"/>
        <shadow val="0"/>
        <u val="none"/>
        <vertAlign val="baseline"/>
        <sz val="10"/>
        <color theme="1"/>
        <name val="Arial"/>
        <scheme val="none"/>
      </font>
    </dxf>
    <dxf>
      <font>
        <b/>
        <i val="0"/>
        <strike val="0"/>
        <condense val="0"/>
        <extend val="0"/>
        <outline val="0"/>
        <shadow val="0"/>
        <u val="none"/>
        <vertAlign val="baseline"/>
        <sz val="12"/>
        <color theme="3" tint="-0.249977111117893"/>
        <name val="Arial"/>
        <scheme val="none"/>
      </font>
      <protection locked="1" hidden="0"/>
    </dxf>
    <dxf>
      <font>
        <b/>
        <i val="0"/>
        <strike val="0"/>
        <condense val="0"/>
        <extend val="0"/>
        <outline val="0"/>
        <shadow val="0"/>
        <u val="none"/>
        <vertAlign val="baseline"/>
        <sz val="10"/>
        <color theme="1"/>
        <name val="Arial"/>
        <scheme val="none"/>
      </font>
    </dxf>
    <dxf>
      <font>
        <strike val="0"/>
        <outline val="0"/>
        <shadow val="0"/>
        <u val="none"/>
        <vertAlign val="baseline"/>
        <sz val="12"/>
        <color theme="3" tint="-0.249977111117893"/>
        <name val="Arial"/>
        <scheme val="none"/>
      </font>
      <protection locked="1" hidden="0"/>
    </dxf>
    <dxf>
      <font>
        <b/>
        <i val="0"/>
        <strike val="0"/>
        <condense val="0"/>
        <extend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1"/>
        <name val="Arial"/>
        <scheme val="none"/>
      </font>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protection locked="1" hidden="0"/>
    </dxf>
    <dxf>
      <numFmt numFmtId="3" formatCode="#,##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font>
        <strike val="0"/>
        <outline val="0"/>
        <shadow val="0"/>
        <u val="none"/>
        <vertAlign val="baseline"/>
        <sz val="12"/>
        <color theme="3" tint="-0.249977111117893"/>
        <name val="Arial"/>
        <scheme val="none"/>
      </font>
      <numFmt numFmtId="164" formatCode="_(* #,##0_);_(* \(#,##0\);_(* &quot;-&quot;??_);_(@_)"/>
      <protection locked="1" hidden="0"/>
    </dxf>
    <dxf>
      <numFmt numFmtId="3" formatCode="#,##0"/>
    </dxf>
    <dxf>
      <font>
        <strike val="0"/>
        <outline val="0"/>
        <shadow val="0"/>
        <u val="none"/>
        <vertAlign val="baseline"/>
        <sz val="12"/>
        <color theme="3" tint="-0.249977111117893"/>
        <name val="Arial"/>
        <scheme val="none"/>
      </font>
      <numFmt numFmtId="164" formatCode="_(* #,##0_);_(* \(#,##0\);_(* &quot;-&quot;??_);_(@_)"/>
      <protection locked="1" hidden="0"/>
    </dxf>
    <dxf>
      <numFmt numFmtId="3" formatCode="#,##0"/>
    </dxf>
    <dxf>
      <font>
        <strike val="0"/>
        <outline val="0"/>
        <shadow val="0"/>
        <u val="none"/>
        <vertAlign val="baseline"/>
        <sz val="12"/>
        <color theme="3" tint="-0.249977111117893"/>
        <name val="Arial"/>
        <scheme val="none"/>
      </font>
      <numFmt numFmtId="14" formatCode="0.00%"/>
      <protection locked="1" hidden="0"/>
    </dxf>
    <dxf>
      <numFmt numFmtId="3" formatCode="#,##0"/>
    </dxf>
    <dxf>
      <font>
        <strike val="0"/>
        <outline val="0"/>
        <shadow val="0"/>
        <u val="none"/>
        <vertAlign val="baseline"/>
        <sz val="12"/>
        <color theme="3" tint="-0.249977111117893"/>
        <name val="Arial"/>
        <scheme val="none"/>
      </font>
      <alignment horizontal="general" vertical="bottom" textRotation="0" wrapText="1" indent="0" relativeIndent="0" justifyLastLine="0" shrinkToFit="0" mergeCell="0" readingOrder="0"/>
      <protection locked="1" hidden="0"/>
    </dxf>
    <dxf>
      <alignment horizontal="general" vertical="bottom" textRotation="0" wrapText="1" indent="0" relativeIndent="0" justifyLastLine="0" shrinkToFit="0" mergeCell="0" readingOrder="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theme="3" tint="-0.249977111117893"/>
        <name val="Arial"/>
        <scheme val="none"/>
      </font>
      <protection locked="1" hidden="0"/>
    </dxf>
    <dxf>
      <font>
        <strike val="0"/>
        <outline val="0"/>
        <shadow val="0"/>
        <u val="none"/>
        <vertAlign val="baseline"/>
        <sz val="12"/>
        <color auto="1"/>
        <name val="Arial"/>
        <scheme val="none"/>
      </font>
      <numFmt numFmtId="0" formatCode="General"/>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0" formatCode="General"/>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0" formatCode="General"/>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0" formatCode="General"/>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0" formatCode="General"/>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164" formatCode="_(* #,##0_);_(* \(#,##0\);_(* &quot;-&quot;??_);_(@_)"/>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164" formatCode="_(* #,##0_);_(* \(#,##0\);_(* &quot;-&quot;??_);_(@_)"/>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164" formatCode="_(* #,##0_);_(* \(#,##0\);_(* &quot;-&quot;??_);_(@_)"/>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164" formatCode="_(* #,##0_);_(* \(#,##0\);_(* &quot;-&quot;??_);_(@_)"/>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164" formatCode="_(* #,##0_);_(* \(#,##0\);_(* &quot;-&quot;??_);_(@_)"/>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164" formatCode="_(* #,##0_);_(* \(#,##0\);_(* &quot;-&quot;??_);_(@_)"/>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164" formatCode="_(* #,##0_);_(* \(#,##0\);_(* &quot;-&quot;??_);_(@_)"/>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164" formatCode="_(* #,##0_);_(* \(#,##0\);_(* &quot;-&quot;??_);_(@_)"/>
      <fill>
        <patternFill>
          <fgColor indexed="64"/>
          <bgColor theme="6" tint="0.39997558519241921"/>
        </patternFill>
      </fill>
      <protection locked="1" hidden="0"/>
    </dxf>
    <dxf>
      <font>
        <strike val="0"/>
        <outline val="0"/>
        <shadow val="0"/>
        <u val="none"/>
        <vertAlign val="baseline"/>
        <sz val="12"/>
        <color theme="1"/>
        <name val="Arial"/>
        <scheme val="none"/>
      </font>
      <numFmt numFmtId="14" formatCode="0.00%"/>
    </dxf>
    <dxf>
      <font>
        <strike val="0"/>
        <outline val="0"/>
        <shadow val="0"/>
        <u val="none"/>
        <vertAlign val="baseline"/>
        <sz val="12"/>
        <color auto="1"/>
        <name val="Arial"/>
        <scheme val="none"/>
      </font>
      <numFmt numFmtId="14" formatCode="0.00%"/>
      <protection locked="1" hidden="0"/>
    </dxf>
    <dxf>
      <numFmt numFmtId="14" formatCode="0.00%"/>
    </dxf>
    <dxf>
      <font>
        <strike val="0"/>
        <outline val="0"/>
        <shadow val="0"/>
        <u val="none"/>
        <vertAlign val="baseline"/>
        <sz val="12"/>
        <color auto="1"/>
        <name val="Arial"/>
        <scheme val="none"/>
      </font>
      <numFmt numFmtId="14" formatCode="0.00%"/>
      <protection locked="1" hidden="0"/>
    </dxf>
    <dxf>
      <numFmt numFmtId="14" formatCode="0.00%"/>
    </dxf>
    <dxf>
      <font>
        <strike val="0"/>
        <outline val="0"/>
        <shadow val="0"/>
        <u val="none"/>
        <vertAlign val="baseline"/>
        <sz val="12"/>
        <color auto="1"/>
        <name val="Arial"/>
        <scheme val="none"/>
      </font>
      <numFmt numFmtId="14" formatCode="0.00%"/>
      <protection locked="1" hidden="0"/>
    </dxf>
    <dxf>
      <numFmt numFmtId="14" formatCode="0.00%"/>
    </dxf>
    <dxf>
      <font>
        <strike val="0"/>
        <outline val="0"/>
        <shadow val="0"/>
        <u val="none"/>
        <vertAlign val="baseline"/>
        <sz val="12"/>
        <color auto="1"/>
        <name val="Arial"/>
        <scheme val="none"/>
      </font>
      <numFmt numFmtId="14" formatCode="0.00%"/>
      <protection locked="1" hidden="0"/>
    </dxf>
    <dxf>
      <numFmt numFmtId="14" formatCode="0.00%"/>
    </dxf>
    <dxf>
      <font>
        <strike val="0"/>
        <outline val="0"/>
        <shadow val="0"/>
        <u val="none"/>
        <vertAlign val="baseline"/>
        <sz val="12"/>
        <color auto="1"/>
        <name val="Arial"/>
        <scheme val="none"/>
      </font>
      <numFmt numFmtId="14" formatCode="0.00%"/>
      <fill>
        <patternFill patternType="solid">
          <fgColor indexed="64"/>
          <bgColor theme="3" tint="0.59999389629810485"/>
        </patternFill>
      </fill>
      <protection locked="1" hidden="0"/>
    </dxf>
    <dxf>
      <numFmt numFmtId="14" formatCode="0.00%"/>
    </dxf>
    <dxf>
      <font>
        <strike val="0"/>
        <outline val="0"/>
        <shadow val="0"/>
        <u val="none"/>
        <vertAlign val="baseline"/>
        <sz val="12"/>
        <color auto="1"/>
        <name val="Arial"/>
        <scheme val="none"/>
      </font>
      <numFmt numFmtId="14" formatCode="0.00%"/>
      <protection locked="1" hidden="0"/>
    </dxf>
    <dxf>
      <numFmt numFmtId="14" formatCode="0.00%"/>
    </dxf>
    <dxf>
      <font>
        <strike val="0"/>
        <outline val="0"/>
        <shadow val="0"/>
        <u val="none"/>
        <vertAlign val="baseline"/>
        <sz val="12"/>
        <color auto="1"/>
        <name val="Arial"/>
        <scheme val="none"/>
      </font>
      <numFmt numFmtId="14" formatCode="0.00%"/>
      <protection locked="1" hidden="0"/>
    </dxf>
    <dxf>
      <numFmt numFmtId="14" formatCode="0.00%"/>
    </dxf>
    <dxf>
      <font>
        <strike val="0"/>
        <outline val="0"/>
        <shadow val="0"/>
        <u val="none"/>
        <vertAlign val="baseline"/>
        <sz val="12"/>
        <color auto="1"/>
        <name val="Arial"/>
        <scheme val="none"/>
      </font>
      <numFmt numFmtId="14" formatCode="0.00%"/>
      <protection locked="1" hidden="0"/>
    </dxf>
    <dxf>
      <numFmt numFmtId="14" formatCode="0.00%"/>
    </dxf>
    <dxf>
      <font>
        <strike val="0"/>
        <outline val="0"/>
        <shadow val="0"/>
        <u val="none"/>
        <vertAlign val="baseline"/>
        <sz val="12"/>
        <color auto="1"/>
        <name val="Arial"/>
        <scheme val="none"/>
      </font>
      <protection locked="1" hidden="0"/>
    </dxf>
    <dxf>
      <font>
        <strike val="0"/>
        <outline val="0"/>
        <shadow val="0"/>
        <u val="none"/>
        <vertAlign val="baseline"/>
        <sz val="12"/>
        <color auto="1"/>
        <name val="Arial"/>
        <scheme val="none"/>
      </font>
      <numFmt numFmtId="14" formatCode="0.00%"/>
      <protection locked="1" hidden="0"/>
    </dxf>
    <dxf>
      <font>
        <strike val="0"/>
        <outline val="0"/>
        <shadow val="0"/>
        <u val="none"/>
        <vertAlign val="baseline"/>
        <sz val="12"/>
        <color auto="1"/>
        <name val="Arial"/>
        <scheme val="none"/>
      </font>
      <numFmt numFmtId="14" formatCode="0.00%"/>
      <protection locked="1" hidden="0"/>
    </dxf>
    <dxf>
      <font>
        <strike val="0"/>
        <outline val="0"/>
        <shadow val="0"/>
        <u val="none"/>
        <vertAlign val="baseline"/>
        <sz val="12"/>
        <color auto="1"/>
        <name val="Arial"/>
        <scheme val="none"/>
      </font>
      <numFmt numFmtId="3" formatCode="#,##0"/>
      <protection locked="1" hidden="0"/>
    </dxf>
    <dxf>
      <numFmt numFmtId="3" formatCode="#,##0"/>
    </dxf>
    <dxf>
      <font>
        <strike val="0"/>
        <outline val="0"/>
        <shadow val="0"/>
        <u val="none"/>
        <vertAlign val="baseline"/>
        <sz val="12"/>
        <color auto="1"/>
        <name val="Arial"/>
        <scheme val="none"/>
      </font>
      <numFmt numFmtId="13" formatCode="0%"/>
      <protection locked="1" hidden="0"/>
    </dxf>
    <dxf>
      <numFmt numFmtId="13" formatCode="0%"/>
    </dxf>
    <dxf>
      <font>
        <strike val="0"/>
        <outline val="0"/>
        <shadow val="0"/>
        <u val="none"/>
        <vertAlign val="baseline"/>
        <sz val="12"/>
        <color auto="1"/>
        <name val="Arial"/>
        <scheme val="none"/>
      </font>
      <numFmt numFmtId="3" formatCode="#,##0"/>
      <protection locked="1" hidden="0"/>
    </dxf>
    <dxf>
      <numFmt numFmtId="3" formatCode="#,##0"/>
    </dxf>
    <dxf>
      <font>
        <strike val="0"/>
        <outline val="0"/>
        <shadow val="0"/>
        <u val="none"/>
        <vertAlign val="baseline"/>
        <sz val="12"/>
        <color auto="1"/>
        <name val="Arial"/>
        <scheme val="none"/>
      </font>
      <numFmt numFmtId="14" formatCode="0.00%"/>
      <protection locked="1" hidden="0"/>
    </dxf>
    <dxf>
      <numFmt numFmtId="14" formatCode="0.00%"/>
    </dxf>
    <dxf>
      <font>
        <strike val="0"/>
        <outline val="0"/>
        <shadow val="0"/>
        <u val="none"/>
        <vertAlign val="baseline"/>
        <sz val="12"/>
        <color auto="1"/>
        <name val="Arial"/>
        <scheme val="none"/>
      </font>
      <protection locked="1" hidden="0"/>
    </dxf>
    <dxf>
      <border outline="0">
        <bottom style="medium">
          <color indexed="64"/>
        </bottom>
      </border>
    </dxf>
    <dxf>
      <font>
        <strike val="0"/>
        <outline val="0"/>
        <shadow val="0"/>
        <u val="none"/>
        <vertAlign val="baseline"/>
        <sz val="12"/>
        <color auto="1"/>
        <name val="Arial"/>
        <scheme val="none"/>
      </font>
      <protection locked="1" hidden="0"/>
    </dxf>
    <dxf>
      <font>
        <strike val="0"/>
        <outline val="0"/>
        <shadow val="0"/>
        <u val="none"/>
        <vertAlign val="baseline"/>
        <sz val="12"/>
        <color auto="1"/>
        <name val="Arial"/>
        <scheme val="none"/>
      </font>
      <protection locked="1" hidden="0"/>
    </dxf>
    <dxf>
      <font>
        <strike val="0"/>
        <outline val="0"/>
        <shadow val="0"/>
        <u val="none"/>
        <vertAlign val="baseline"/>
        <sz val="12"/>
        <color auto="1"/>
        <name val="Arial"/>
        <scheme val="none"/>
      </font>
      <numFmt numFmtId="14" formatCode="0.00%"/>
      <protection locked="1" hidden="0"/>
    </dxf>
    <dxf>
      <numFmt numFmtId="14" formatCode="0.00%"/>
    </dxf>
    <dxf>
      <font>
        <strike val="0"/>
        <outline val="0"/>
        <shadow val="0"/>
        <u val="none"/>
        <vertAlign val="baseline"/>
        <sz val="12"/>
        <color auto="1"/>
        <name val="Arial"/>
        <scheme val="none"/>
      </font>
      <numFmt numFmtId="164" formatCode="_(* #,##0_);_(* \(#,##0\);_(* &quot;-&quot;??_);_(@_)"/>
      <protection locked="1" hidden="0"/>
    </dxf>
    <dxf>
      <numFmt numFmtId="3" formatCode="#,##0"/>
    </dxf>
    <dxf>
      <font>
        <strike val="0"/>
        <outline val="0"/>
        <shadow val="0"/>
        <u val="none"/>
        <vertAlign val="baseline"/>
        <sz val="12"/>
        <color auto="1"/>
        <name val="Arial"/>
        <scheme val="none"/>
      </font>
      <numFmt numFmtId="13" formatCode="0%"/>
      <protection locked="1" hidden="0"/>
    </dxf>
    <dxf>
      <numFmt numFmtId="13" formatCode="0%"/>
    </dxf>
    <dxf>
      <font>
        <strike val="0"/>
        <outline val="0"/>
        <shadow val="0"/>
        <u val="none"/>
        <vertAlign val="baseline"/>
        <sz val="12"/>
        <color auto="1"/>
        <name val="Arial"/>
        <scheme val="none"/>
      </font>
      <numFmt numFmtId="13" formatCode="0%"/>
      <protection locked="1" hidden="0"/>
    </dxf>
    <dxf>
      <numFmt numFmtId="13" formatCode="0%"/>
    </dxf>
    <dxf>
      <font>
        <strike val="0"/>
        <outline val="0"/>
        <shadow val="0"/>
        <u val="none"/>
        <vertAlign val="baseline"/>
        <sz val="12"/>
        <color auto="1"/>
        <name val="Arial"/>
        <scheme val="none"/>
      </font>
      <numFmt numFmtId="13" formatCode="0%"/>
      <protection locked="1" hidden="0"/>
    </dxf>
    <dxf>
      <numFmt numFmtId="13" formatCode="0%"/>
    </dxf>
    <dxf>
      <font>
        <strike val="0"/>
        <outline val="0"/>
        <shadow val="0"/>
        <u val="none"/>
        <vertAlign val="baseline"/>
        <sz val="12"/>
        <color auto="1"/>
        <name val="Arial"/>
        <scheme val="none"/>
      </font>
      <protection locked="1" hidden="0"/>
    </dxf>
    <dxf>
      <font>
        <strike val="0"/>
        <outline val="0"/>
        <shadow val="0"/>
        <u val="none"/>
        <vertAlign val="baseline"/>
        <sz val="12"/>
        <color auto="1"/>
        <name val="Arial"/>
        <scheme val="none"/>
      </font>
      <numFmt numFmtId="13" formatCode="0%"/>
      <protection locked="1" hidden="0"/>
    </dxf>
    <dxf>
      <font>
        <strike val="0"/>
        <outline val="0"/>
        <shadow val="0"/>
        <u val="none"/>
        <vertAlign val="baseline"/>
        <sz val="12"/>
        <color auto="1"/>
        <name val="Arial"/>
        <scheme val="none"/>
      </font>
      <numFmt numFmtId="13" formatCode="0%"/>
      <protection locked="1" hidden="0"/>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auto="1"/>
        <name val="Arial"/>
        <scheme val="none"/>
      </font>
      <numFmt numFmtId="164" formatCode="_(* #,##0_);_(* \(#,##0\);_(* &quot;-&quot;??_);_(@_)"/>
      <fill>
        <patternFill patternType="solid">
          <fgColor indexed="64"/>
          <bgColor theme="6" tint="0.39997558519241921"/>
        </patternFill>
      </fill>
      <protection locked="1" hidden="0"/>
    </dxf>
    <dxf>
      <font>
        <strike val="0"/>
        <outline val="0"/>
        <shadow val="0"/>
        <u val="none"/>
        <vertAlign val="baseline"/>
        <sz val="12"/>
        <color theme="1"/>
        <name val="Arial"/>
        <scheme val="none"/>
      </font>
    </dxf>
    <dxf>
      <font>
        <strike val="0"/>
        <outline val="0"/>
        <shadow val="0"/>
        <u val="none"/>
        <vertAlign val="baseline"/>
        <sz val="12"/>
        <color auto="1"/>
        <name val="Arial"/>
        <scheme val="none"/>
      </font>
      <numFmt numFmtId="164" formatCode="_(* #,##0_);_(* \(#,##0\);_(* &quot;-&quot;??_);_(@_)"/>
      <fill>
        <patternFill patternType="solid">
          <fgColor indexed="64"/>
          <bgColor theme="6" tint="0.39997558519241921"/>
        </patternFill>
      </fill>
      <protection locked="1" hidden="0"/>
    </dxf>
    <dxf>
      <font>
        <strike val="0"/>
        <outline val="0"/>
        <shadow val="0"/>
        <u val="none"/>
        <vertAlign val="baseline"/>
        <sz val="12"/>
        <color theme="1"/>
        <name val="Arial"/>
        <scheme val="none"/>
      </font>
    </dxf>
    <dxf>
      <font>
        <strike val="0"/>
        <outline val="0"/>
        <shadow val="0"/>
        <u val="none"/>
        <vertAlign val="baseline"/>
        <sz val="12"/>
        <color auto="1"/>
        <name val="Arial"/>
        <scheme val="none"/>
      </font>
      <protection locked="1" hidden="0"/>
    </dxf>
    <dxf>
      <font>
        <strike val="0"/>
        <outline val="0"/>
        <shadow val="0"/>
        <u val="none"/>
        <vertAlign val="baseline"/>
        <sz val="12"/>
        <color auto="1"/>
        <name val="Arial"/>
        <scheme val="none"/>
      </font>
      <numFmt numFmtId="3" formatCode="#,##0"/>
      <protection locked="1" hidden="0"/>
    </dxf>
    <dxf>
      <numFmt numFmtId="3" formatCode="#,##0"/>
    </dxf>
    <dxf>
      <font>
        <strike val="0"/>
        <outline val="0"/>
        <shadow val="0"/>
        <u val="none"/>
        <vertAlign val="baseline"/>
        <sz val="12"/>
        <color auto="1"/>
        <name val="Arial"/>
        <scheme val="none"/>
      </font>
      <numFmt numFmtId="3" formatCode="#,##0"/>
      <protection locked="1" hidden="0"/>
    </dxf>
    <dxf>
      <numFmt numFmtId="3" formatCode="#,##0"/>
    </dxf>
    <dxf>
      <font>
        <strike val="0"/>
        <outline val="0"/>
        <shadow val="0"/>
        <u val="none"/>
        <vertAlign val="baseline"/>
        <sz val="12"/>
        <color auto="1"/>
        <name val="Arial"/>
        <scheme val="none"/>
      </font>
      <protection locked="1" hidden="0"/>
    </dxf>
    <dxf>
      <font>
        <strike val="0"/>
        <outline val="0"/>
        <shadow val="0"/>
        <u val="none"/>
        <vertAlign val="baseline"/>
        <sz val="12"/>
        <color auto="1"/>
        <name val="Arial"/>
        <scheme val="none"/>
      </font>
      <protection locked="1" hidden="0"/>
    </dxf>
    <dxf>
      <font>
        <strike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numFmt numFmtId="165" formatCode="0.0%"/>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i val="0"/>
        <strike val="0"/>
        <condense val="0"/>
        <extend val="0"/>
        <outline val="0"/>
        <shadow val="0"/>
        <u val="none"/>
        <vertAlign val="baseline"/>
        <sz val="12"/>
        <color auto="1"/>
        <name val="Arial"/>
        <scheme val="none"/>
      </font>
      <numFmt numFmtId="13" formatCode="0%"/>
      <fill>
        <patternFill patternType="solid">
          <fgColor indexed="64"/>
          <bgColor theme="5" tint="0.59999389629810485"/>
        </patternFill>
      </fill>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i val="0"/>
        <strike val="0"/>
        <condense val="0"/>
        <extend val="0"/>
        <outline val="0"/>
        <shadow val="0"/>
        <u val="none"/>
        <vertAlign val="baseline"/>
        <sz val="12"/>
        <color auto="1"/>
        <name val="Arial"/>
        <scheme val="none"/>
      </font>
      <numFmt numFmtId="13" formatCode="0%"/>
      <fill>
        <patternFill patternType="solid">
          <fgColor indexed="64"/>
          <bgColor theme="5" tint="0.59999389629810485"/>
        </patternFill>
      </fill>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4" formatCode="0.00%"/>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alignment vertical="bottom" textRotation="0" wrapText="1" indent="0" relativeIndent="255" justifyLastLine="0" shrinkToFit="0" readingOrder="0"/>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strike val="0"/>
        <outline val="0"/>
        <shadow val="0"/>
        <u val="none"/>
        <vertAlign val="baseline"/>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alignment horizontal="center" vertical="bottom" textRotation="0" wrapText="0" indent="0" relativeIndent="255" justifyLastLine="0" shrinkToFit="0" readingOrder="0"/>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strike val="0"/>
        <outline val="0"/>
        <shadow val="0"/>
        <u val="none"/>
        <vertAlign val="baseline"/>
        <color auto="1"/>
        <name val="Arial"/>
        <scheme val="none"/>
      </font>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protection locked="1" hidden="0"/>
    </dxf>
    <dxf>
      <font>
        <strike val="0"/>
        <outline val="0"/>
        <shadow val="0"/>
        <u val="none"/>
        <vertAlign val="baseline"/>
        <color auto="1"/>
        <name val="Arial"/>
        <scheme val="none"/>
      </font>
      <numFmt numFmtId="164" formatCode="_(* #,##0_);_(* \(#,##0\);_(* &quot;-&quot;??_);_(@_)"/>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strike val="0"/>
        <outline val="0"/>
        <shadow val="0"/>
        <u val="none"/>
        <vertAlign val="baseline"/>
        <color auto="1"/>
        <name val="Arial"/>
        <scheme val="none"/>
      </font>
      <numFmt numFmtId="164" formatCode="_(* #,##0_);_(* \(#,##0\);_(* &quot;-&quot;??_);_(@_)"/>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strike val="0"/>
        <outline val="0"/>
        <shadow val="0"/>
        <u val="none"/>
        <vertAlign val="baseline"/>
        <color auto="1"/>
        <name val="Arial"/>
        <scheme val="none"/>
      </font>
      <numFmt numFmtId="164" formatCode="_(* #,##0_);_(* \(#,##0\);_(* &quot;-&quot;??_);_(@_)"/>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strike val="0"/>
        <outline val="0"/>
        <shadow val="0"/>
        <u val="none"/>
        <vertAlign val="baseline"/>
        <color auto="1"/>
        <name val="Arial"/>
        <scheme val="none"/>
      </font>
      <numFmt numFmtId="164" formatCode="_(* #,##0_);_(* \(#,##0\);_(* &quot;-&quot;??_);_(@_)"/>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strike val="0"/>
        <outline val="0"/>
        <shadow val="0"/>
        <u val="none"/>
        <vertAlign val="baseline"/>
        <color auto="1"/>
        <name val="Arial"/>
        <scheme val="none"/>
      </font>
      <numFmt numFmtId="164" formatCode="_(* #,##0_);_(* \(#,##0\);_(* &quot;-&quot;??_);_(@_)"/>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strike val="0"/>
        <outline val="0"/>
        <shadow val="0"/>
        <u val="none"/>
        <vertAlign val="baseline"/>
        <color auto="1"/>
        <name val="Arial"/>
        <scheme val="none"/>
      </font>
      <numFmt numFmtId="164" formatCode="_(* #,##0_);_(* \(#,##0\);_(* &quot;-&quot;??_);_(@_)"/>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strike val="0"/>
        <outline val="0"/>
        <shadow val="0"/>
        <u val="none"/>
        <vertAlign val="baseline"/>
        <color auto="1"/>
        <name val="Arial"/>
        <scheme val="none"/>
      </font>
      <numFmt numFmtId="164" formatCode="_(* #,##0_);_(* \(#,##0\);_(* &quot;-&quot;??_);_(@_)"/>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strike val="0"/>
        <outline val="0"/>
        <shadow val="0"/>
        <u val="none"/>
        <vertAlign val="baseline"/>
        <color auto="1"/>
        <name val="Arial"/>
        <scheme val="none"/>
      </font>
      <numFmt numFmtId="164" formatCode="_(* #,##0_);_(* \(#,##0\);_(* &quot;-&quot;??_);_(@_)"/>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strike val="0"/>
        <outline val="0"/>
        <shadow val="0"/>
        <u val="none"/>
        <vertAlign val="baseline"/>
        <color auto="1"/>
        <name val="Arial"/>
        <scheme val="none"/>
      </font>
      <numFmt numFmtId="164" formatCode="_(* #,##0_);_(* \(#,##0\);_(* &quot;-&quot;??_);_(@_)"/>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strike val="0"/>
        <outline val="0"/>
        <shadow val="0"/>
        <u val="none"/>
        <vertAlign val="baseline"/>
        <color auto="1"/>
        <name val="Arial"/>
        <scheme val="none"/>
      </font>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strike val="0"/>
        <outline val="0"/>
        <shadow val="0"/>
        <u val="none"/>
        <vertAlign val="baseline"/>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strike val="0"/>
        <outline val="0"/>
        <shadow val="0"/>
        <u val="none"/>
        <vertAlign val="baseline"/>
        <color auto="1"/>
        <name val="Arial"/>
        <scheme val="none"/>
      </font>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strike val="0"/>
        <outline val="0"/>
        <shadow val="0"/>
        <u val="none"/>
        <vertAlign val="baseline"/>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strike val="0"/>
        <outline val="0"/>
        <shadow val="0"/>
        <u val="none"/>
        <vertAlign val="baseline"/>
        <color auto="1"/>
        <name val="Arial"/>
        <scheme val="none"/>
      </font>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 formatCode="0"/>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3" formatCode="0%"/>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top"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alignment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alignment vertical="bottom" textRotation="0" wrapText="1" indent="0" relativeIndent="255" justifyLastLine="0" shrinkToFit="0" readingOrder="0"/>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alignment vertical="top" textRotation="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alignment vertical="bottom" textRotation="0" wrapText="1" indent="0" relativeIndent="255" justifyLastLine="0" shrinkToFit="0" readingOrder="0"/>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alignment vertical="top" textRotation="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strike val="0"/>
        <outline val="0"/>
        <shadow val="0"/>
        <u val="none"/>
        <vertAlign val="baseline"/>
        <color auto="1"/>
        <name val="Arial"/>
        <scheme val="none"/>
      </font>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alignment vertical="bottom" textRotation="0" wrapText="1" indent="0" relativeIndent="255" justifyLastLine="0" shrinkToFit="0" readingOrder="0"/>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alignment vertical="top" textRotation="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14" formatCode="0.00%"/>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numFmt numFmtId="3" formatCode="#,##0"/>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2"/>
        <color auto="1"/>
        <name val="Arial"/>
        <scheme val="none"/>
      </font>
      <alignment vertical="bottom" textRotation="0" wrapText="1" indent="0" relativeIndent="255" justifyLastLine="0" shrinkToFit="0" readingOrder="0"/>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dxf>
    <dxf>
      <font>
        <strike val="0"/>
        <outline val="0"/>
        <shadow val="0"/>
        <u val="none"/>
        <vertAlign val="baseline"/>
        <color auto="1"/>
        <name val="Arial"/>
        <scheme val="none"/>
      </font>
      <alignment vertical="top" textRotation="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5" formatCode="0.0%"/>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alignment horizontal="general" vertical="bottom" textRotation="0" wrapText="1" indent="0" relativeIndent="0" justifyLastLine="0" shrinkToFit="0" mergeCell="0" readingOrder="0"/>
      <protection locked="1" hidden="0"/>
    </dxf>
    <dxf>
      <font>
        <b/>
        <i val="0"/>
        <strike val="0"/>
        <condense val="0"/>
        <extend val="0"/>
        <outline val="0"/>
        <shadow val="0"/>
        <u val="none"/>
        <vertAlign val="baseline"/>
        <sz val="12"/>
        <color theme="1"/>
        <name val="Arial"/>
        <scheme val="none"/>
      </font>
      <alignment horizontal="general" vertical="bottom" textRotation="0" wrapText="1" indent="0" relativeIndent="0" justifyLastLine="0" shrinkToFit="0" mergeCell="0" readingOrder="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protection locked="1" hidden="0"/>
    </dxf>
    <dxf>
      <font>
        <strike val="0"/>
        <outline val="0"/>
        <shadow val="0"/>
        <u val="none"/>
        <vertAlign val="baseline"/>
        <color auto="1"/>
        <name val="Arial"/>
        <scheme val="none"/>
      </font>
      <numFmt numFmtId="164" formatCode="_(* #,##0_);_(* \(#,##0\);_(* &quot;-&quot;??_);_(@_)"/>
      <protection locked="1" hidden="0"/>
    </dxf>
    <dxf>
      <font>
        <strike val="0"/>
        <outline val="0"/>
        <shadow val="0"/>
        <u val="none"/>
        <vertAlign val="baseline"/>
        <color auto="1"/>
        <name val="Arial"/>
        <scheme val="none"/>
      </font>
      <numFmt numFmtId="164" formatCode="_(* #,##0_);_(* \(#,##0\);_(* &quot;-&quot;??_);_(@_)"/>
      <protection locked="1" hidden="0"/>
    </dxf>
    <dxf>
      <font>
        <strike val="0"/>
        <outline val="0"/>
        <shadow val="0"/>
        <u val="none"/>
        <vertAlign val="baseline"/>
        <color auto="1"/>
        <name val="Arial"/>
        <scheme val="none"/>
      </font>
      <numFmt numFmtId="165" formatCode="0.0%"/>
      <protection locked="1" hidden="0"/>
    </dxf>
    <dxf>
      <font>
        <strike val="0"/>
        <outline val="0"/>
        <shadow val="0"/>
        <u val="none"/>
        <vertAlign val="baseline"/>
        <color auto="1"/>
        <name val="Arial"/>
        <scheme val="none"/>
      </font>
      <numFmt numFmtId="164" formatCode="_(* #,##0_);_(* \(#,##0\);_(* &quot;-&quot;??_);_(@_)"/>
      <protection locked="1" hidden="0"/>
    </dxf>
    <dxf>
      <font>
        <b/>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auto="1"/>
        <name val="Arial"/>
        <scheme val="none"/>
      </font>
      <protection locked="1" hidden="0"/>
    </dxf>
    <dxf>
      <font>
        <strike val="0"/>
        <outline val="0"/>
        <shadow val="0"/>
        <u val="none"/>
        <vertAlign val="baseline"/>
        <color auto="1"/>
        <name val="Arial"/>
        <scheme val="none"/>
      </font>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5" formatCode="0.0%"/>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auto="1"/>
        <name val="Arial"/>
        <scheme val="none"/>
      </font>
      <numFmt numFmtId="164" formatCode="_(* #,##0_);_(* \(#,##0\);_(* &quot;-&quot;??_);_(@_)"/>
      <protection locked="1" hidden="0"/>
    </dxf>
    <dxf>
      <font>
        <b val="0"/>
        <i val="0"/>
        <strike val="0"/>
        <condense val="0"/>
        <extend val="0"/>
        <outline val="0"/>
        <shadow val="0"/>
        <u val="none"/>
        <vertAlign val="baseline"/>
        <sz val="12"/>
        <color auto="1"/>
        <name val="Arial"/>
        <scheme val="none"/>
      </font>
      <protection locked="1" hidden="0"/>
    </dxf>
    <dxf>
      <font>
        <strike val="0"/>
        <outline val="0"/>
        <shadow val="0"/>
        <u val="none"/>
        <vertAlign val="baseline"/>
        <color auto="1"/>
        <name val="Arial"/>
        <scheme val="none"/>
      </font>
      <alignment vertical="top" textRotation="0" wrapText="0" indent="0" relativeIndent="0" justifyLastLine="0" shrinkToFit="0" readingOrder="0"/>
      <protection locked="1" hidden="0"/>
    </dxf>
    <dxf>
      <font>
        <b/>
        <i val="0"/>
        <strike val="0"/>
        <condense val="0"/>
        <extend val="0"/>
        <outline val="0"/>
        <shadow val="0"/>
        <u val="none"/>
        <vertAlign val="baseline"/>
        <sz val="12"/>
        <color auto="1"/>
        <name val="Arial"/>
        <scheme val="none"/>
      </font>
      <alignment horizontal="center" vertical="bottom" textRotation="0" wrapText="0" indent="0" relativeIndent="0" justifyLastLine="0" shrinkToFit="0" mergeCell="0" readingOrder="0"/>
      <protection locked="1" hidden="0"/>
    </dxf>
    <dxf>
      <font>
        <b val="0"/>
        <i val="0"/>
        <strike val="0"/>
        <condense val="0"/>
        <extend val="0"/>
        <outline val="0"/>
        <shadow val="0"/>
        <u val="none"/>
        <vertAlign val="baseline"/>
        <sz val="12"/>
        <color auto="1"/>
        <name val="Arial"/>
        <scheme val="none"/>
      </font>
      <numFmt numFmtId="164" formatCode="_(* #,##0_);_(* \(#,##0\);_(* &quot;-&quot;??_);_(@_)"/>
      <border diagonalUp="0" diagonalDown="0" outline="0">
        <left style="thin">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2"/>
        <color rgb="FFC00000"/>
        <name val="Arial"/>
        <scheme val="none"/>
      </font>
      <numFmt numFmtId="164" formatCode="_(* #,##0_);_(* \(#,##0\);_(* &quot;-&quot;??_);_(@_)"/>
      <border diagonalUp="0" diagonalDown="0" outline="0">
        <left style="thin">
          <color indexed="64"/>
        </left>
        <right style="medium">
          <color indexed="64"/>
        </right>
        <top/>
        <bottom style="thin">
          <color indexed="64"/>
        </bottom>
      </border>
    </dxf>
    <dxf>
      <font>
        <b val="0"/>
        <i val="0"/>
        <strike val="0"/>
        <condense val="0"/>
        <extend val="0"/>
        <outline val="0"/>
        <shadow val="0"/>
        <u val="none"/>
        <vertAlign val="baseline"/>
        <sz val="12"/>
        <color auto="1"/>
        <name val="Arial"/>
        <scheme val="none"/>
      </font>
      <numFmt numFmtId="164" formatCode="_(* #,##0_);_(* \(#,##0\);_(* &quot;-&quot;??_);_(@_)"/>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numFmt numFmtId="164" formatCode="_(* #,##0_);_(* \(#,##0\);_(* &quot;-&quot;??_);_(@_)"/>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64" formatCode="_(* #,##0_);_(* \(#,##0\);_(* &quot;-&quot;??_);_(@_)"/>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164" formatCode="_(* #,##0_);_(* \(#,##0\);_(* &quot;-&quot;??_);_(@_)"/>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rial"/>
        <scheme val="none"/>
      </font>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border diagonalUp="0" diagonalDown="0" outline="0">
        <left/>
        <right style="thin">
          <color indexed="64"/>
        </right>
        <top/>
        <bottom style="thin">
          <color indexed="64"/>
        </bottom>
      </border>
    </dxf>
    <dxf>
      <border outline="0">
        <left style="medium">
          <color indexed="64"/>
        </left>
        <top style="thin">
          <color indexed="64"/>
        </top>
        <bottom style="medium">
          <color indexed="64"/>
        </bottom>
      </border>
    </dxf>
    <dxf>
      <font>
        <strike val="0"/>
        <outline val="0"/>
        <shadow val="0"/>
        <u val="none"/>
        <vertAlign val="baseline"/>
        <color auto="1"/>
        <name val="Arial"/>
        <scheme val="none"/>
      </font>
      <protection locked="1" hidden="0"/>
    </dxf>
    <dxf>
      <border outline="0">
        <bottom style="thin">
          <color indexed="64"/>
        </bottom>
      </border>
    </dxf>
    <dxf>
      <font>
        <strike val="0"/>
        <outline val="0"/>
        <shadow val="0"/>
        <u val="none"/>
        <vertAlign val="baseline"/>
        <color auto="1"/>
        <name val="Arial"/>
        <scheme val="none"/>
      </font>
      <protection locked="1" hidden="0"/>
    </dxf>
    <dxf>
      <font>
        <b val="0"/>
        <i val="0"/>
        <strike val="0"/>
        <condense val="0"/>
        <extend val="0"/>
        <outline val="0"/>
        <shadow val="0"/>
        <u val="none"/>
        <vertAlign val="baseline"/>
        <sz val="12"/>
        <color auto="1"/>
        <name val="Arial"/>
        <scheme val="none"/>
      </font>
      <numFmt numFmtId="164" formatCode="_(* #,##0_);_(* \(#,##0\);_(* &quot;-&quot;??_);_(@_)"/>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theme="1"/>
        <name val="Arial"/>
        <scheme val="none"/>
      </font>
      <numFmt numFmtId="164" formatCode="_(* #,##0_);_(* \(#,##0\);_(* &quot;-&quot;??_);_(@_)"/>
      <alignment horizontal="center" vertical="bottom" textRotation="0" wrapText="0" indent="0" relativeIndent="0" justifyLastLine="0" shrinkToFit="0" mergeCell="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2"/>
        <color auto="1"/>
        <name val="Arial"/>
        <scheme val="none"/>
      </font>
      <numFmt numFmtId="164" formatCode="_(* #,##0_);_(* \(#,##0\);_(* &quot;-&quot;??_);_(@_)"/>
      <border diagonalUp="0" diagonalDown="0" outline="0">
        <left style="thin">
          <color indexed="64"/>
        </left>
        <right style="thin">
          <color indexed="64"/>
        </right>
        <top/>
        <bottom style="thin">
          <color indexed="64"/>
        </bottom>
      </border>
      <protection locked="1" hidden="0"/>
    </dxf>
    <dxf>
      <font>
        <b/>
        <i val="0"/>
        <strike val="0"/>
        <condense val="0"/>
        <extend val="0"/>
        <outline val="0"/>
        <shadow val="0"/>
        <u val="none"/>
        <vertAlign val="baseline"/>
        <sz val="12"/>
        <color theme="1"/>
        <name val="Arial"/>
        <scheme val="none"/>
      </font>
      <numFmt numFmtId="164" formatCode="_(* #,##0_);_(* \(#,##0\);_(* &quot;-&quot;??_);_(@_)"/>
      <alignment horizontal="center" vertical="bottom" textRotation="0" wrapText="0" indent="0" relativeIndent="0" justifyLastLine="0" shrinkToFit="0" mergeCell="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64" formatCode="_(* #,##0_);_(* \(#,##0\);_(* &quot;-&quot;??_);_(@_)"/>
      <border diagonalUp="0" diagonalDown="0" outline="0">
        <left style="thin">
          <color indexed="64"/>
        </left>
        <right style="thin">
          <color indexed="64"/>
        </right>
        <top/>
        <bottom style="thin">
          <color indexed="64"/>
        </bottom>
      </border>
      <protection locked="1" hidden="0"/>
    </dxf>
    <dxf>
      <font>
        <b/>
        <i val="0"/>
        <strike val="0"/>
        <condense val="0"/>
        <extend val="0"/>
        <outline val="0"/>
        <shadow val="0"/>
        <u val="none"/>
        <vertAlign val="baseline"/>
        <sz val="12"/>
        <color theme="1"/>
        <name val="Arial"/>
        <scheme val="none"/>
      </font>
      <numFmt numFmtId="164" formatCode="_(* #,##0_);_(* \(#,##0\);_(* &quot;-&quot;??_);_(@_)"/>
      <alignment horizontal="center" vertical="bottom" textRotation="0" wrapText="0" indent="0" relativeIndent="0" justifyLastLine="0" shrinkToFit="0" mergeCell="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rial"/>
        <scheme val="none"/>
      </font>
      <border diagonalUp="0" diagonalDown="0" outline="0">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scheme val="none"/>
      </font>
      <alignment horizontal="center" vertical="bottom" textRotation="0" wrapText="0" indent="0" relativeIndent="0" justifyLastLine="0" shrinkToFit="0" mergeCell="0" readingOrder="0"/>
      <border diagonalUp="0" diagonalDown="0" outline="0">
        <left/>
        <right style="thin">
          <color indexed="64"/>
        </right>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color auto="1"/>
        <name val="Arial"/>
        <scheme val="none"/>
      </font>
      <numFmt numFmtId="164" formatCode="_(* #,##0_);_(* \(#,##0\);_(* &quot;-&quot;??_);_(@_)"/>
      <alignment vertical="top" textRotation="0" wrapText="0" indent="0" relativeIndent="0" justifyLastLine="0" shrinkToFit="0" readingOrder="0"/>
      <border diagonalUp="0" diagonalDown="0" outline="0"/>
      <protection locked="1" hidden="0"/>
    </dxf>
    <dxf>
      <border outline="0">
        <bottom style="thin">
          <color indexed="64"/>
        </bottom>
      </border>
    </dxf>
    <dxf>
      <font>
        <b/>
        <i val="0"/>
        <strike val="0"/>
        <condense val="0"/>
        <extend val="0"/>
        <outline val="0"/>
        <shadow val="0"/>
        <u val="none"/>
        <vertAlign val="baseline"/>
        <sz val="12"/>
        <color auto="1"/>
        <name val="Arial"/>
        <scheme val="none"/>
      </font>
      <numFmt numFmtId="164" formatCode="_(* #,##0_);_(* \(#,##0\);_(* &quot;-&quot;??_);_(@_)"/>
      <alignment horizontal="center" vertical="bottom" textRotation="0" wrapText="0" indent="0" relativeIndent="0" justifyLastLine="0" shrinkToFit="0" mergeCell="0" readingOrder="0"/>
      <border diagonalUp="0" diagonalDown="0" outline="0">
        <left style="thin">
          <color indexed="64"/>
        </left>
        <right style="thin">
          <color indexed="64"/>
        </right>
        <top/>
        <bottom/>
      </border>
      <protection locked="1" hidden="0"/>
    </dxf>
    <dxf>
      <font>
        <strike val="0"/>
        <outline val="0"/>
        <shadow val="0"/>
        <u val="none"/>
        <vertAlign val="baseline"/>
        <sz val="12"/>
        <color auto="1"/>
        <name val="Arial"/>
        <scheme val="none"/>
      </font>
      <numFmt numFmtId="164" formatCode="_(* #,##0_);_(* \(#,##0\);_(* &quot;-&quot;??_);_(@_)"/>
      <border diagonalUp="0" diagonalDown="0" outline="0">
        <left style="thin">
          <color indexed="64"/>
        </left>
        <right/>
        <top style="thin">
          <color indexed="64"/>
        </top>
        <bottom style="thin">
          <color indexed="64"/>
        </bottom>
      </border>
      <protection locked="1" hidden="0"/>
    </dxf>
    <dxf>
      <numFmt numFmtId="3" formatCode="#,##0"/>
      <border diagonalUp="0" diagonalDown="0" outline="0">
        <left style="thin">
          <color indexed="64"/>
        </left>
        <right/>
        <top/>
        <bottom style="thin">
          <color indexed="64"/>
        </bottom>
      </border>
    </dxf>
    <dxf>
      <font>
        <strike val="0"/>
        <outline val="0"/>
        <shadow val="0"/>
        <u val="none"/>
        <vertAlign val="baseline"/>
        <sz val="12"/>
        <color auto="1"/>
        <name val="Arial"/>
        <scheme val="none"/>
      </font>
      <numFmt numFmtId="164" formatCode="_(* #,##0_);_(* \(#,##0\);_(* &quot;-&quot;??_);_(@_)"/>
      <border diagonalUp="0" diagonalDown="0" outline="0">
        <left style="thin">
          <color indexed="64"/>
        </left>
        <right style="thin">
          <color indexed="64"/>
        </right>
        <top style="thin">
          <color indexed="64"/>
        </top>
        <bottom style="thin">
          <color indexed="64"/>
        </bottom>
      </border>
      <protection locked="1" hidden="0"/>
    </dxf>
    <dxf>
      <border diagonalUp="0" diagonalDown="0" outline="0">
        <left style="thin">
          <color indexed="64"/>
        </left>
        <right style="thin">
          <color indexed="64"/>
        </right>
        <top/>
        <bottom style="thin">
          <color indexed="64"/>
        </bottom>
      </border>
    </dxf>
    <dxf>
      <font>
        <strike val="0"/>
        <outline val="0"/>
        <shadow val="0"/>
        <u val="none"/>
        <vertAlign val="baseline"/>
        <sz val="12"/>
        <color auto="1"/>
        <name val="Arial"/>
        <scheme val="none"/>
      </font>
      <border diagonalUp="0" diagonalDown="0" outline="0">
        <left/>
        <right style="thin">
          <color indexed="64"/>
        </right>
        <top style="thin">
          <color indexed="64"/>
        </top>
        <bottom style="thin">
          <color indexed="64"/>
        </bottom>
      </border>
      <protection locked="1" hidden="0"/>
    </dxf>
    <dxf>
      <border diagonalUp="0" diagonalDown="0" outline="0">
        <left/>
        <right style="thin">
          <color indexed="64"/>
        </right>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auto="1"/>
        <name val="Arial"/>
        <scheme val="none"/>
      </font>
      <protection locked="1" hidden="0"/>
    </dxf>
    <dxf>
      <border outline="0">
        <bottom style="thin">
          <color indexed="64"/>
        </bottom>
      </border>
    </dxf>
    <dxf>
      <font>
        <strike val="0"/>
        <outline val="0"/>
        <shadow val="0"/>
        <u val="none"/>
        <vertAlign val="baseline"/>
        <sz val="12"/>
        <color auto="1"/>
        <name val="Arial"/>
        <scheme val="none"/>
      </font>
      <protection locked="1" hidden="0"/>
    </dxf>
    <dxf>
      <font>
        <strike val="0"/>
        <outline val="0"/>
        <shadow val="0"/>
        <u val="none"/>
        <vertAlign val="baseline"/>
        <sz val="12"/>
        <color auto="1"/>
        <name val="Arial"/>
        <scheme val="none"/>
      </font>
      <numFmt numFmtId="164" formatCode="_(* #,##0_);_(* \(#,##0\);_(* &quot;-&quot;??_);_(@_)"/>
      <border diagonalUp="0" diagonalDown="0" outline="0">
        <left style="thin">
          <color indexed="64"/>
        </left>
        <right/>
        <top style="medium">
          <color indexed="64"/>
        </top>
        <bottom style="thin">
          <color indexed="64"/>
        </bottom>
      </border>
      <protection locked="1" hidden="0"/>
    </dxf>
    <dxf>
      <numFmt numFmtId="3" formatCode="#,##0"/>
      <border diagonalUp="0" diagonalDown="0" outline="0">
        <left style="thin">
          <color indexed="64"/>
        </left>
        <right/>
        <top/>
        <bottom style="thin">
          <color indexed="64"/>
        </bottom>
      </border>
    </dxf>
    <dxf>
      <font>
        <strike val="0"/>
        <outline val="0"/>
        <shadow val="0"/>
        <u val="none"/>
        <vertAlign val="baseline"/>
        <sz val="12"/>
        <color auto="1"/>
        <name val="Arial"/>
        <scheme val="none"/>
      </font>
      <numFmt numFmtId="164" formatCode="_(* #,##0_);_(* \(#,##0\);_(* &quot;-&quot;??_);_(@_)"/>
      <border diagonalUp="0" diagonalDown="0" outline="0">
        <left style="thin">
          <color indexed="64"/>
        </left>
        <right style="thin">
          <color indexed="64"/>
        </right>
        <top style="medium">
          <color indexed="64"/>
        </top>
        <bottom style="thin">
          <color indexed="64"/>
        </bottom>
      </border>
      <protection locked="1" hidden="0"/>
    </dxf>
    <dxf>
      <border diagonalUp="0" diagonalDown="0" outline="0">
        <left style="thin">
          <color indexed="64"/>
        </left>
        <right style="thin">
          <color indexed="64"/>
        </right>
        <top/>
        <bottom style="thin">
          <color indexed="64"/>
        </bottom>
      </border>
    </dxf>
    <dxf>
      <font>
        <strike val="0"/>
        <outline val="0"/>
        <shadow val="0"/>
        <u val="none"/>
        <vertAlign val="baseline"/>
        <sz val="12"/>
        <color auto="1"/>
        <name val="Arial"/>
        <scheme val="none"/>
      </font>
      <border diagonalUp="0" diagonalDown="0" outline="0">
        <left/>
        <right style="thin">
          <color indexed="64"/>
        </right>
        <top style="medium">
          <color indexed="64"/>
        </top>
        <bottom style="thin">
          <color indexed="64"/>
        </bottom>
      </border>
      <protection locked="1" hidden="0"/>
    </dxf>
    <dxf>
      <border diagonalUp="0" diagonalDown="0" outline="0">
        <left/>
        <right style="thin">
          <color indexed="64"/>
        </right>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auto="1"/>
        <name val="Arial"/>
        <scheme val="none"/>
      </font>
      <protection locked="1" hidden="0"/>
    </dxf>
    <dxf>
      <border outline="0">
        <bottom style="thin">
          <color indexed="64"/>
        </bottom>
      </border>
    </dxf>
    <dxf>
      <font>
        <strike val="0"/>
        <outline val="0"/>
        <shadow val="0"/>
        <u val="none"/>
        <vertAlign val="baseline"/>
        <sz val="12"/>
        <color auto="1"/>
        <name val="Arial"/>
        <scheme val="none"/>
      </font>
      <protection locked="1" hidden="0"/>
    </dxf>
    <dxf>
      <font>
        <strike val="0"/>
        <outline val="0"/>
        <shadow val="0"/>
        <u val="none"/>
        <vertAlign val="baseline"/>
        <sz val="12"/>
        <color auto="1"/>
        <name val="Arial"/>
        <scheme val="none"/>
      </font>
      <numFmt numFmtId="164" formatCode="_(* #,##0_);_(* \(#,##0\);_(* &quot;-&quot;??_);_(@_)"/>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color auto="1"/>
        <name val="Arial"/>
        <scheme val="none"/>
      </font>
      <numFmt numFmtId="164" formatCode="_(* #,##0_);_(* \(#,##0\);_(* &quot;-&quot;??_);_(@_)"/>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Arial"/>
        <scheme val="none"/>
      </font>
      <border diagonalUp="0" diagonalDown="0" outline="0">
        <left/>
        <right style="thin">
          <color indexed="64"/>
        </right>
        <top style="thin">
          <color indexed="64"/>
        </top>
        <bottom style="thin">
          <color indexed="64"/>
        </bottom>
      </border>
      <protection locked="1"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auto="1"/>
        <name val="Arial"/>
        <scheme val="none"/>
      </font>
      <protection locked="1" hidden="0"/>
    </dxf>
    <dxf>
      <border outline="0">
        <bottom style="thin">
          <color indexed="64"/>
        </bottom>
      </border>
    </dxf>
    <dxf>
      <font>
        <strike val="0"/>
        <outline val="0"/>
        <shadow val="0"/>
        <u val="none"/>
        <vertAlign val="baseline"/>
        <sz val="12"/>
        <color auto="1"/>
        <name val="Arial"/>
        <scheme val="none"/>
      </font>
      <protection locked="1" hidden="0"/>
    </dxf>
    <dxf>
      <font>
        <strike val="0"/>
        <outline val="0"/>
        <shadow val="0"/>
        <u val="none"/>
        <vertAlign val="baseline"/>
        <sz val="12"/>
        <color auto="1"/>
        <name val="Arial"/>
        <scheme val="none"/>
      </font>
      <numFmt numFmtId="164" formatCode="_(* #,##0_);_(* \(#,##0\);_(* &quot;-&quot;??_);_(@_)"/>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Arial"/>
        <scheme val="none"/>
      </font>
      <numFmt numFmtId="164" formatCode="_(* #,##0_);_(* \(#,##0\);_(* &quot;-&quot;??_);_(@_)"/>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Arial"/>
        <scheme val="none"/>
      </font>
      <numFmt numFmtId="164" formatCode="_(* #,##0_);_(* \(#,##0\);_(* &quot;-&quot;??_);_(@_)"/>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Arial"/>
        <scheme val="none"/>
      </font>
      <numFmt numFmtId="164" formatCode="_(* #,##0_);_(* \(#,##0\);_(* &quot;-&quot;??_);_(@_)"/>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Arial"/>
        <scheme val="none"/>
      </font>
      <border diagonalUp="0" diagonalDown="0" outline="0">
        <left/>
        <right style="thin">
          <color indexed="64"/>
        </right>
        <top style="thin">
          <color indexed="64"/>
        </top>
        <bottom style="thin">
          <color indexed="64"/>
        </bottom>
      </border>
      <protection locked="1"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auto="1"/>
        <name val="Arial"/>
        <scheme val="none"/>
      </font>
      <protection locked="1" hidden="0"/>
    </dxf>
    <dxf>
      <border outline="0">
        <bottom style="thin">
          <color indexed="64"/>
        </bottom>
      </border>
    </dxf>
    <dxf>
      <font>
        <strike val="0"/>
        <outline val="0"/>
        <shadow val="0"/>
        <u val="none"/>
        <vertAlign val="baseline"/>
        <sz val="12"/>
        <color auto="1"/>
        <name val="Arial"/>
        <scheme val="none"/>
      </font>
      <protection locked="1" hidden="0"/>
    </dxf>
    <dxf>
      <font>
        <strike val="0"/>
        <outline val="0"/>
        <shadow val="0"/>
        <u val="none"/>
        <vertAlign val="baseline"/>
        <sz val="12"/>
        <color auto="1"/>
        <name val="Arial"/>
        <scheme val="none"/>
      </font>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color auto="1"/>
        <name val="Arial"/>
        <scheme val="none"/>
      </font>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Arial"/>
        <scheme val="none"/>
      </font>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Arial"/>
        <scheme val="none"/>
      </font>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Arial"/>
        <scheme val="none"/>
      </font>
      <border diagonalUp="0" diagonalDown="0" outline="0">
        <left/>
        <right style="thin">
          <color indexed="64"/>
        </right>
        <top style="thin">
          <color indexed="64"/>
        </top>
        <bottom style="thin">
          <color indexed="64"/>
        </bottom>
      </border>
      <protection locked="1"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auto="1"/>
        <name val="Arial"/>
        <scheme val="none"/>
      </font>
      <fill>
        <patternFill>
          <fgColor indexed="64"/>
        </patternFill>
      </fill>
      <alignment textRotation="0" wrapText="0" indent="0" relativeIndent="0" justifyLastLine="0" shrinkToFit="0" readingOrder="0"/>
      <border diagonalUp="0" diagonalDown="0" outline="0"/>
      <protection locked="1" hidden="0"/>
    </dxf>
    <dxf>
      <border>
        <bottom style="medium">
          <color indexed="64"/>
        </bottom>
        <vertical/>
        <horizontal/>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relativeIndent="0" justifyLastLine="0" shrinkToFit="0" mergeCell="0" readingOrder="0"/>
      <border diagonalUp="0" diagonalDown="0" outline="0">
        <left style="thin">
          <color indexed="64"/>
        </left>
        <right style="thin">
          <color indexed="64"/>
        </right>
        <top/>
        <bottom/>
      </border>
      <protection locked="1" hidden="0"/>
    </dxf>
    <dxf>
      <font>
        <strike val="0"/>
        <outline val="0"/>
        <shadow val="0"/>
        <u val="none"/>
        <vertAlign val="baseline"/>
        <sz val="12"/>
        <color auto="1"/>
        <name val="Arial"/>
        <scheme val="none"/>
      </font>
      <numFmt numFmtId="3" formatCode="#,##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color auto="1"/>
        <name val="Arial"/>
        <scheme val="none"/>
      </font>
      <numFmt numFmtId="3" formatCode="#,##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Arial"/>
        <scheme val="none"/>
      </font>
      <border diagonalUp="0" diagonalDown="0" outline="0">
        <left/>
        <right style="thin">
          <color indexed="64"/>
        </right>
        <top style="thin">
          <color indexed="64"/>
        </top>
        <bottom style="thin">
          <color indexed="64"/>
        </bottom>
      </border>
      <protection locked="1"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auto="1"/>
        <name val="Arial"/>
        <scheme val="none"/>
      </font>
      <protection locked="1" hidden="0"/>
    </dxf>
    <dxf>
      <border outline="0">
        <bottom style="thin">
          <color indexed="64"/>
        </bottom>
      </border>
    </dxf>
    <dxf>
      <font>
        <strike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top" textRotation="0" wrapText="1" indent="0" relativeIndent="0" justifyLastLine="0" shrinkToFit="0" mergeCell="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4" formatCode="0.00%"/>
      <alignment horizontal="center" vertical="top" textRotation="0" wrapText="1" indent="0" relativeIndent="0" justifyLastLine="0" shrinkToFit="0" mergeCell="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general" vertical="top" textRotation="0" wrapText="1" indent="0" relativeIndent="0" justifyLastLine="0" shrinkToFit="0" mergeCell="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alignment horizontal="general" vertical="top" textRotation="0" wrapText="1" indent="0" relativeIndent="0" justifyLastLine="0" shrinkToFit="0" mergeCell="0" readingOrder="0"/>
      <border diagonalUp="0" diagonalDown="0" outline="0">
        <left/>
        <right style="thin">
          <color indexed="64"/>
        </right>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auto="1"/>
        <name val="Arial"/>
        <scheme val="none"/>
      </font>
      <protection locked="1" hidden="0"/>
    </dxf>
    <dxf>
      <border outline="0">
        <bottom style="thin">
          <color indexed="64"/>
        </bottom>
      </border>
    </dxf>
    <dxf>
      <font>
        <strike val="0"/>
        <outline val="0"/>
        <shadow val="0"/>
        <u val="none"/>
        <vertAlign val="baseline"/>
        <sz val="12"/>
        <color auto="1"/>
        <name val="Arial"/>
        <scheme val="none"/>
      </font>
      <protection locked="1" hidden="0"/>
    </dxf>
    <dxf>
      <font>
        <b val="0"/>
        <i val="0"/>
        <strike val="0"/>
        <condense val="0"/>
        <extend val="0"/>
        <outline val="0"/>
        <shadow val="0"/>
        <u val="none"/>
        <vertAlign val="baseline"/>
        <sz val="12"/>
        <color auto="1"/>
        <name val="Arial"/>
        <scheme val="none"/>
      </font>
      <numFmt numFmtId="3" formatCode="#,##0"/>
      <alignment horizontal="general" vertical="top" textRotation="0" wrapText="1" indent="0" relativeIndent="0" justifyLastLine="0" shrinkToFit="0" mergeCell="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general" vertical="top" textRotation="0" wrapText="1" indent="0" relativeIndent="0" justifyLastLine="0" shrinkToFit="0" mergeCell="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general" vertical="top" textRotation="0" wrapText="1" indent="0" relativeIndent="0" justifyLastLine="0" shrinkToFit="0" mergeCell="0" readingOrder="0"/>
      <border diagonalUp="0" diagonalDown="0" outline="0">
        <left/>
        <right style="thin">
          <color indexed="64"/>
        </right>
        <top style="thin">
          <color indexed="64"/>
        </top>
        <bottom style="thin">
          <color indexed="64"/>
        </bottom>
      </border>
      <protection locked="1"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auto="1"/>
        <name val="Arial"/>
        <scheme val="none"/>
      </font>
      <fill>
        <patternFill>
          <fgColor indexed="64"/>
        </patternFill>
      </fill>
      <alignment textRotation="0" indent="0" relativeIndent="0" justifyLastLine="0" shrinkToFit="0" readingOrder="0"/>
      <border diagonalUp="0" diagonalDown="0" outline="0"/>
      <protection locked="1" hidden="0"/>
    </dxf>
    <dxf>
      <border outline="0">
        <bottom style="medium">
          <color indexed="64"/>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top" textRotation="0" wrapText="1" indent="0" relativeIndent="0" justifyLastLine="0" shrinkToFit="0" mergeCell="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font>
        <b val="0"/>
        <i val="0"/>
        <strike val="0"/>
        <condense val="0"/>
        <extend val="0"/>
        <outline val="0"/>
        <shadow val="0"/>
        <u val="none"/>
        <vertAlign val="baseline"/>
        <sz val="10"/>
        <color theme="1"/>
        <name val="Arial"/>
        <scheme val="none"/>
      </font>
      <numFmt numFmtId="164" formatCode="_(* #,##0_);_(* \(#,##0\);_(* &quot;-&quot;??_);_(@_)"/>
      <protection locked="1" hidden="0"/>
    </dxf>
    <dxf>
      <protection locked="1" hidden="0"/>
    </dxf>
    <dxf>
      <alignment horizontal="general" vertical="bottom" textRotation="0" wrapText="1" indent="0" relativeIndent="0" justifyLastLine="0" shrinkToFit="0" mergeCell="0" readingOrder="0"/>
      <protection locked="1" hidden="0"/>
    </dxf>
    <dxf>
      <font>
        <b val="0"/>
        <i val="0"/>
        <strike val="0"/>
        <condense val="0"/>
        <extend val="0"/>
        <outline val="0"/>
        <shadow val="0"/>
        <u val="none"/>
        <vertAlign val="baseline"/>
        <sz val="10"/>
        <color theme="1"/>
        <name val="Arial"/>
        <scheme val="none"/>
      </font>
      <numFmt numFmtId="169" formatCode="[$-409]mmm\-yy;@"/>
      <alignment textRotation="0" indent="0" relativeIndent="0" justifyLastLine="0" shrinkToFit="0" readingOrder="0"/>
      <protection locked="1" hidden="0"/>
    </dxf>
    <dxf>
      <font>
        <b/>
        <i val="0"/>
        <strike val="0"/>
        <condense val="0"/>
        <extend val="0"/>
        <outline val="0"/>
        <shadow val="0"/>
        <u val="none"/>
        <vertAlign val="baseline"/>
        <sz val="10"/>
        <color theme="1"/>
        <name val="Arial"/>
        <scheme val="none"/>
      </font>
      <numFmt numFmtId="169" formatCode="[$-409]mmm\-yy;@"/>
      <alignment horizontal="center" vertical="center" textRotation="0" wrapText="1" indent="0" relativeIndent="0" justifyLastLine="0" shrinkToFit="0" mergeCell="0" readingOrder="0"/>
      <protection locked="1" hidden="0"/>
    </dxf>
  </dxfs>
  <tableStyles count="1" defaultTableStyle="TableStyleMedium9" defaultPivotStyle="PivotStyleLight16">
    <tableStyle name="Table Style 1" pivot="0" count="0"/>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ables/table1.xml><?xml version="1.0" encoding="utf-8"?>
<table xmlns="http://schemas.openxmlformats.org/spreadsheetml/2006/main" id="4" name="Table12" displayName="Table12" ref="A3:M17" totalsRowCount="1" headerRowDxfId="777" dataDxfId="776" headerRowCellStyle="Comma" dataCellStyle="Comma">
  <tableColumns count="13">
    <tableColumn id="1" name="Cost Element" dataDxfId="775" totalsRowDxfId="16"/>
    <tableColumn id="2" name="Actual" dataDxfId="774" totalsRowDxfId="15"/>
    <tableColumn id="3" name="After Escalation" dataDxfId="773" totalsRowDxfId="14" dataCellStyle="Comma"/>
    <tableColumn id="4" name="Year of inception" dataDxfId="772" totalsRowDxfId="13" dataCellStyle="Comma"/>
    <tableColumn id="5" name="Jun" dataDxfId="771" totalsRowDxfId="12" dataCellStyle="Comma"/>
    <tableColumn id="6" name="Sep" dataDxfId="770" totalsRowDxfId="11" dataCellStyle="Comma"/>
    <tableColumn id="7" name="Dec" dataDxfId="769" totalsRowDxfId="10" dataCellStyle="Comma"/>
    <tableColumn id="8" name="Mar" dataDxfId="768" totalsRowDxfId="9" dataCellStyle="Comma"/>
    <tableColumn id="9" name="Jun2" dataDxfId="767" totalsRowDxfId="8" dataCellStyle="Comma"/>
    <tableColumn id="10" name="Sep2" dataDxfId="766" totalsRowDxfId="7" dataCellStyle="Comma"/>
    <tableColumn id="11" name="Dec4" dataDxfId="765" totalsRowDxfId="6" dataCellStyle="Comma"/>
    <tableColumn id="12" name="Mar5" dataDxfId="764" totalsRowDxfId="5" dataCellStyle="Comma"/>
    <tableColumn id="13" name="Total" totalsRowFunction="custom" dataDxfId="763" totalsRowDxfId="4" dataCellStyle="Comma">
      <totalsRowFormula>(M11-M12)/2</totalsRowFormula>
    </tableColumn>
  </tableColumns>
  <tableStyleInfo name="TableStyleMedium11" showFirstColumn="0" showLastColumn="0" showRowStripes="1" showColumnStripes="0"/>
</table>
</file>

<file path=xl/tables/table10.xml><?xml version="1.0" encoding="utf-8"?>
<table xmlns="http://schemas.openxmlformats.org/spreadsheetml/2006/main" id="11" name="Table11" displayName="Table11" ref="A9:C13" headerRowCount="0" totalsRowShown="0" headerRowDxfId="705" dataDxfId="703" headerRowBorderDxfId="704" tableBorderDxfId="702">
  <tableColumns count="3">
    <tableColumn id="1" name="Column1" headerRowDxfId="701" dataDxfId="700"/>
    <tableColumn id="2" name="Column2" headerRowDxfId="699" dataDxfId="698" dataCellStyle="Comma"/>
    <tableColumn id="3" name="Column3" headerRowDxfId="697" dataDxfId="696" dataCellStyle="Comma"/>
  </tableColumns>
  <tableStyleInfo name="TableStyleLight16" showFirstColumn="0" showLastColumn="0" showRowStripes="1" showColumnStripes="0"/>
</table>
</file>

<file path=xl/tables/table11.xml><?xml version="1.0" encoding="utf-8"?>
<table xmlns="http://schemas.openxmlformats.org/spreadsheetml/2006/main" id="6" name="Table6" displayName="Table6" ref="A17:D23" headerRowCount="0" totalsRowShown="0" headerRowDxfId="695" dataDxfId="693" headerRowBorderDxfId="694" tableBorderDxfId="692" headerRowCellStyle="Comma">
  <tableColumns count="4">
    <tableColumn id="1" name="Column1" headerRowDxfId="691" dataDxfId="690"/>
    <tableColumn id="2" name="Column2" headerRowDxfId="689" dataDxfId="688" headerRowCellStyle="Comma" dataCellStyle="Comma"/>
    <tableColumn id="3" name="Column3" headerRowDxfId="687" dataDxfId="686" headerRowCellStyle="Comma" dataCellStyle="Comma">
      <calculatedColumnFormula>D17/10.76</calculatedColumnFormula>
    </tableColumn>
    <tableColumn id="4" name="Column4" headerRowDxfId="685" dataDxfId="684" headerRowCellStyle="Comma" dataCellStyle="Comma"/>
  </tableColumns>
  <tableStyleInfo name="TableStyleLight16" showFirstColumn="0" showLastColumn="0" showRowStripes="1" showColumnStripes="0"/>
</table>
</file>

<file path=xl/tables/table12.xml><?xml version="1.0" encoding="utf-8"?>
<table xmlns="http://schemas.openxmlformats.org/spreadsheetml/2006/main" id="9" name="Table9" displayName="Table9" ref="A27:D31" headerRowCount="0" totalsRowShown="0" headerRowDxfId="683" dataDxfId="681" headerRowBorderDxfId="682" tableBorderDxfId="680">
  <tableColumns count="4">
    <tableColumn id="1" name="Column1" headerRowDxfId="679" dataDxfId="678"/>
    <tableColumn id="2" name="Column2" headerRowDxfId="677" dataDxfId="676" headerRowCellStyle="Comma" dataCellStyle="Comma"/>
    <tableColumn id="3" name="Column3" headerRowDxfId="675" dataDxfId="674" headerRowCellStyle="Comma" dataCellStyle="Comma"/>
    <tableColumn id="4" name="Column4" headerRowDxfId="673" dataDxfId="672" headerRowCellStyle="Comma" dataCellStyle="Comma"/>
  </tableColumns>
  <tableStyleInfo name="TableStyleLight16" showFirstColumn="0" showLastColumn="0" showRowStripes="1" showColumnStripes="0"/>
</table>
</file>

<file path=xl/tables/table13.xml><?xml version="1.0" encoding="utf-8"?>
<table xmlns="http://schemas.openxmlformats.org/spreadsheetml/2006/main" id="13" name="Table1214" displayName="Table1214" ref="A33:C41" totalsRowShown="0" headerRowDxfId="671" dataDxfId="670">
  <tableColumns count="3">
    <tableColumn id="1" name="Back of the House Areas" dataDxfId="669"/>
    <tableColumn id="2" name="Sq Mts" dataDxfId="668" dataCellStyle="Comma"/>
    <tableColumn id="3" name="Sq Ft" dataDxfId="667" dataCellStyle="Comma"/>
  </tableColumns>
  <tableStyleInfo name="TableStyleLight16" showFirstColumn="0" showLastColumn="0" showRowStripes="1" showColumnStripes="0"/>
</table>
</file>

<file path=xl/tables/table14.xml><?xml version="1.0" encoding="utf-8"?>
<table xmlns="http://schemas.openxmlformats.org/spreadsheetml/2006/main" id="14" name="Table14" displayName="Table14" ref="B44:F48" headerRowCount="0" totalsRowShown="0" headerRowDxfId="666" dataDxfId="665">
  <tableColumns count="5">
    <tableColumn id="1" name="Column1" headerRowDxfId="664" dataDxfId="663"/>
    <tableColumn id="2" name="Column2" headerRowDxfId="662" dataDxfId="661" dataCellStyle="Comma"/>
    <tableColumn id="3" name="Column3" headerRowDxfId="660" dataDxfId="659" dataCellStyle="Percent"/>
    <tableColumn id="4" name="Column4" headerRowDxfId="658" dataDxfId="657" dataCellStyle="Comma"/>
    <tableColumn id="5" name="Column5" headerRowDxfId="656" dataDxfId="655" dataCellStyle="Comma"/>
  </tableColumns>
  <tableStyleInfo name="TableStyleLight16" showFirstColumn="0" showLastColumn="0" showRowStripes="1" showColumnStripes="0"/>
</table>
</file>

<file path=xl/tables/table15.xml><?xml version="1.0" encoding="utf-8"?>
<table xmlns="http://schemas.openxmlformats.org/spreadsheetml/2006/main" id="15" name="Table15" displayName="Table15" ref="A3:F41" totalsRowShown="0" headerRowDxfId="654" dataDxfId="653">
  <tableColumns count="6">
    <tableColumn id="1" name="No. " dataDxfId="652"/>
    <tableColumn id="2" name="Particulars" dataDxfId="651"/>
    <tableColumn id="3" name="Present" dataDxfId="650" dataCellStyle="Comma"/>
    <tableColumn id="4" name="Escal." dataDxfId="649" dataCellStyle="Percent"/>
    <tableColumn id="5" name="TOTAL amount" dataDxfId="648" dataCellStyle="Comma"/>
    <tableColumn id="6" name="TOTAL in USD" dataDxfId="647" dataCellStyle="Comma"/>
  </tableColumns>
  <tableStyleInfo name="TableStyleLight16" showFirstColumn="0" showLastColumn="0" showRowStripes="1" showColumnStripes="0"/>
</table>
</file>

<file path=xl/tables/table16.xml><?xml version="1.0" encoding="utf-8"?>
<table xmlns="http://schemas.openxmlformats.org/spreadsheetml/2006/main" id="18" name="Table18" displayName="Table18" ref="A5:O52" headerRowCount="0" totalsRowShown="0" headerRowDxfId="646" dataDxfId="645">
  <tableColumns count="15">
    <tableColumn id="1" name="Column1" headerRowDxfId="644" dataDxfId="643"/>
    <tableColumn id="2" name="Column2" headerRowDxfId="642" dataDxfId="641"/>
    <tableColumn id="3" name="Column3" headerRowDxfId="640" dataDxfId="639" dataCellStyle="Comma"/>
    <tableColumn id="4" name="Column4" headerRowDxfId="638" dataDxfId="637" dataCellStyle="Percent"/>
    <tableColumn id="5" name="Column5" headerRowDxfId="636" dataDxfId="635" dataCellStyle="Comma"/>
    <tableColumn id="6" name="Column6" headerRowDxfId="634" dataDxfId="633" dataCellStyle="Comma"/>
    <tableColumn id="7" name="Column7" headerRowDxfId="632" dataDxfId="631" dataCellStyle="Comma"/>
    <tableColumn id="8" name="Column8" headerRowDxfId="630" dataDxfId="629" dataCellStyle="Comma"/>
    <tableColumn id="9" name="Column9" headerRowDxfId="628" dataDxfId="627" dataCellStyle="Comma"/>
    <tableColumn id="10" name="Column10" headerRowDxfId="626" dataDxfId="625" dataCellStyle="Comma"/>
    <tableColumn id="11" name="Column11" headerRowDxfId="624" dataDxfId="623" dataCellStyle="Comma"/>
    <tableColumn id="12" name="Column12" headerRowDxfId="622" dataDxfId="621" dataCellStyle="Comma"/>
    <tableColumn id="13" name="Column13" headerRowDxfId="620" dataDxfId="619" dataCellStyle="Comma"/>
    <tableColumn id="14" name="Column14" headerRowDxfId="618" dataDxfId="617" dataCellStyle="Comma"/>
    <tableColumn id="15" name="Column15" headerRowDxfId="616" dataDxfId="615" dataCellStyle="Comma"/>
  </tableColumns>
  <tableStyleInfo name="TableStyleLight16" showFirstColumn="0" showLastColumn="0" showRowStripes="1" showColumnStripes="0"/>
</table>
</file>

<file path=xl/tables/table17.xml><?xml version="1.0" encoding="utf-8"?>
<table xmlns="http://schemas.openxmlformats.org/spreadsheetml/2006/main" id="19" name="Table19" displayName="Table19" ref="A3:D9" headerRowCount="0" totalsRowShown="0" headerRowDxfId="614" dataDxfId="613">
  <tableColumns count="4">
    <tableColumn id="1" name="Column1" headerRowDxfId="612" dataDxfId="611"/>
    <tableColumn id="2" name="Column2" headerRowDxfId="610" dataDxfId="609"/>
    <tableColumn id="3" name="Column3" headerRowDxfId="608" dataDxfId="607"/>
    <tableColumn id="4" name="Column4" headerRowDxfId="606" dataDxfId="605" dataCellStyle="Comma"/>
  </tableColumns>
  <tableStyleInfo name="TableStyleLight16" showFirstColumn="0" showLastColumn="0" showRowStripes="1" showColumnStripes="0"/>
</table>
</file>

<file path=xl/tables/table18.xml><?xml version="1.0" encoding="utf-8"?>
<table xmlns="http://schemas.openxmlformats.org/spreadsheetml/2006/main" id="20" name="Table20" displayName="Table20" ref="A11:D16" headerRowCount="0" totalsRowShown="0" headerRowDxfId="604" dataDxfId="603">
  <tableColumns count="4">
    <tableColumn id="1" name="Column1" headerRowDxfId="602" dataDxfId="601"/>
    <tableColumn id="2" name="Column2" headerRowDxfId="600" dataDxfId="599"/>
    <tableColumn id="3" name="Column3" headerRowDxfId="598" dataDxfId="597"/>
    <tableColumn id="4" name="Column4" headerRowDxfId="596" dataDxfId="595" dataCellStyle="Comma"/>
  </tableColumns>
  <tableStyleInfo name="TableStyleLight16" showFirstColumn="0" showLastColumn="0" showRowStripes="1" showColumnStripes="0"/>
</table>
</file>

<file path=xl/tables/table19.xml><?xml version="1.0" encoding="utf-8"?>
<table xmlns="http://schemas.openxmlformats.org/spreadsheetml/2006/main" id="22" name="Table22" displayName="Table22" ref="A18:D24" headerRowCount="0" totalsRowShown="0" headerRowDxfId="594" dataDxfId="593">
  <tableColumns count="4">
    <tableColumn id="1" name="Column1" headerRowDxfId="592" dataDxfId="591"/>
    <tableColumn id="2" name="Column2" headerRowDxfId="590" dataDxfId="589"/>
    <tableColumn id="3" name="Column3" headerRowDxfId="588" dataDxfId="587"/>
    <tableColumn id="4" name="Column4" headerRowDxfId="586" dataDxfId="585" dataCellStyle="Comma"/>
  </tableColumns>
  <tableStyleInfo name="TableStyleLight16" showFirstColumn="0" showLastColumn="0" showRowStripes="1" showColumnStripes="0"/>
</table>
</file>

<file path=xl/tables/table2.xml><?xml version="1.0" encoding="utf-8"?>
<table xmlns="http://schemas.openxmlformats.org/spreadsheetml/2006/main" id="12" name="Table4" displayName="Table4" ref="A5:X14" headerRowCount="0" totalsRowCount="1" headerRowDxfId="107" dataDxfId="106" totalsRowDxfId="105" headerRowCellStyle="Comma" dataCellStyle="Comma">
  <tableColumns count="24">
    <tableColumn id="1" name="Column1" dataDxfId="104" totalsRowDxfId="57"/>
    <tableColumn id="2" name="Column2" headerRowDxfId="103" dataDxfId="102" totalsRowDxfId="56" headerRowCellStyle="Comma" dataCellStyle="Comma"/>
    <tableColumn id="3" name="Column3" headerRowDxfId="101" dataDxfId="100" totalsRowDxfId="55" headerRowCellStyle="Percent" dataCellStyle="Percent"/>
    <tableColumn id="4" name="Column4" headerRowDxfId="99" dataDxfId="98" totalsRowDxfId="54" headerRowCellStyle="Comma" dataCellStyle="Comma"/>
    <tableColumn id="5" name="Column5" headerRowDxfId="97" dataDxfId="96" totalsRowDxfId="53" headerRowCellStyle="Comma" dataCellStyle="Comma"/>
    <tableColumn id="6" name="Column6" headerRowDxfId="95" dataDxfId="94" totalsRowDxfId="52" headerRowCellStyle="Comma" dataCellStyle="Comma"/>
    <tableColumn id="7" name="Column7" headerRowDxfId="93" dataDxfId="92" totalsRowDxfId="51" headerRowCellStyle="Comma" dataCellStyle="Comma"/>
    <tableColumn id="8" name="Column8" headerRowDxfId="91" dataDxfId="90" totalsRowDxfId="50" headerRowCellStyle="Comma" dataCellStyle="Comma"/>
    <tableColumn id="9" name="Column9" headerRowDxfId="89" dataDxfId="88" totalsRowDxfId="49" headerRowCellStyle="Comma" dataCellStyle="Comma"/>
    <tableColumn id="10" name="Column10" headerRowDxfId="87" dataDxfId="86" totalsRowDxfId="48" headerRowCellStyle="Comma" dataCellStyle="Comma"/>
    <tableColumn id="11" name="Column11" headerRowDxfId="85" dataDxfId="84" totalsRowDxfId="47" headerRowCellStyle="Comma" dataCellStyle="Comma"/>
    <tableColumn id="12" name="Column12" headerRowDxfId="83" dataDxfId="82" totalsRowDxfId="46" headerRowCellStyle="Comma" dataCellStyle="Comma"/>
    <tableColumn id="13" name="Column13" headerRowDxfId="81" dataDxfId="80" totalsRowDxfId="45" headerRowCellStyle="Comma" dataCellStyle="Comma"/>
    <tableColumn id="14" name="Column14" headerRowDxfId="79" dataDxfId="78" totalsRowDxfId="44" headerRowCellStyle="Comma" dataCellStyle="Comma"/>
    <tableColumn id="15" name="Column15" headerRowDxfId="77" dataDxfId="76" totalsRowDxfId="43" headerRowCellStyle="Comma" dataCellStyle="Comma"/>
    <tableColumn id="16" name="Column16" headerRowDxfId="75" dataDxfId="74" totalsRowDxfId="42" headerRowCellStyle="Comma" dataCellStyle="Comma"/>
    <tableColumn id="17" name="Column17" headerRowDxfId="73" dataDxfId="72" totalsRowDxfId="41" headerRowCellStyle="Comma" dataCellStyle="Comma"/>
    <tableColumn id="18" name="Column18" headerRowDxfId="71" dataDxfId="70" totalsRowDxfId="40" headerRowCellStyle="Comma" dataCellStyle="Comma"/>
    <tableColumn id="19" name="Column19" headerRowDxfId="69" dataDxfId="68" totalsRowDxfId="39" headerRowCellStyle="Comma" dataCellStyle="Comma"/>
    <tableColumn id="20" name="Column20" headerRowDxfId="67" dataDxfId="66" totalsRowDxfId="38" headerRowCellStyle="Comma" dataCellStyle="Comma"/>
    <tableColumn id="21" name="Column21" headerRowDxfId="65" dataDxfId="64" totalsRowDxfId="37" headerRowCellStyle="Comma" dataCellStyle="Comma"/>
    <tableColumn id="22" name="Column22" headerRowDxfId="63" dataDxfId="62" totalsRowDxfId="36" headerRowCellStyle="Comma" dataCellStyle="Comma"/>
    <tableColumn id="23" name="Column23" headerRowDxfId="61" dataDxfId="60" totalsRowDxfId="35" headerRowCellStyle="Comma" dataCellStyle="Comma"/>
    <tableColumn id="24" name="Column24" totalsRowFunction="custom" headerRowDxfId="59" dataDxfId="58" totalsRowDxfId="34" headerRowCellStyle="Comma" dataCellStyle="Comma">
      <totalsRowFormula>X12+X13</totalsRowFormula>
    </tableColumn>
  </tableColumns>
  <tableStyleInfo name="TableStyleLight18" showFirstColumn="0" showLastColumn="0" showRowStripes="1" showColumnStripes="0"/>
</table>
</file>

<file path=xl/tables/table20.xml><?xml version="1.0" encoding="utf-8"?>
<table xmlns="http://schemas.openxmlformats.org/spreadsheetml/2006/main" id="23" name="Table23" displayName="Table23" ref="A26:D33" headerRowCount="0" totalsRowShown="0" headerRowDxfId="584" dataDxfId="583">
  <tableColumns count="4">
    <tableColumn id="1" name="Column1" headerRowDxfId="582" dataDxfId="581"/>
    <tableColumn id="2" name="Column2" headerRowDxfId="580" dataDxfId="579"/>
    <tableColumn id="3" name="Column3" headerRowDxfId="578" dataDxfId="577"/>
    <tableColumn id="4" name="Column4" headerRowDxfId="576" dataDxfId="575" dataCellStyle="Comma"/>
  </tableColumns>
  <tableStyleInfo name="TableStyleLight16" showFirstColumn="0" showLastColumn="0" showRowStripes="1" showColumnStripes="0"/>
</table>
</file>

<file path=xl/tables/table21.xml><?xml version="1.0" encoding="utf-8"?>
<table xmlns="http://schemas.openxmlformats.org/spreadsheetml/2006/main" id="24" name="Table24" displayName="Table24" ref="A3:I22" headerRowCount="0" totalsRowShown="0" headerRowDxfId="574" dataDxfId="573">
  <tableColumns count="9">
    <tableColumn id="1" name="Column1" headerRowDxfId="572" dataDxfId="571"/>
    <tableColumn id="2" name="Column2" headerRowDxfId="570" dataDxfId="569"/>
    <tableColumn id="3" name="Column3" headerRowDxfId="568" dataDxfId="567"/>
    <tableColumn id="9" name="Column9" headerRowDxfId="566" dataDxfId="565" dataCellStyle="Percent">
      <calculatedColumnFormula>Table24[[#This Row],[Column2]]*Table24[[#This Row],[Column3]]</calculatedColumnFormula>
    </tableColumn>
    <tableColumn id="4" name="Column4" headerRowDxfId="564" dataDxfId="563" dataCellStyle="Comma"/>
    <tableColumn id="5" name="Column5" headerRowDxfId="562" dataDxfId="561" dataCellStyle="Comma"/>
    <tableColumn id="7" name="Column7" headerRowDxfId="560" dataDxfId="559" dataCellStyle="Comma">
      <calculatedColumnFormula>Table24[[#This Row],[Column5]]*Table24[[#This Row],[Column4]]</calculatedColumnFormula>
    </tableColumn>
    <tableColumn id="6" name="Column6" headerRowDxfId="558" dataDxfId="557" dataCellStyle="Comma"/>
    <tableColumn id="8" name="Column8" headerRowDxfId="556" dataDxfId="555" dataCellStyle="Comma">
      <calculatedColumnFormula>Table24[[#This Row],[Column6]]*Table24[[#This Row],[Column4]]</calculatedColumnFormula>
    </tableColumn>
  </tableColumns>
  <tableStyleInfo name="TableStyleLight16" showFirstColumn="0" showLastColumn="0" showRowStripes="1" showColumnStripes="0"/>
</table>
</file>

<file path=xl/tables/table22.xml><?xml version="1.0" encoding="utf-8"?>
<table xmlns="http://schemas.openxmlformats.org/spreadsheetml/2006/main" id="25" name="Table25" displayName="Table25" ref="A3:F27" headerRowCount="0" totalsRowShown="0" headerRowDxfId="554" dataDxfId="553">
  <tableColumns count="6">
    <tableColumn id="1" name="Column1" headerRowDxfId="552" dataDxfId="551"/>
    <tableColumn id="2" name="Column2" headerRowDxfId="550" dataDxfId="549" dataCellStyle="Comma"/>
    <tableColumn id="3" name="Column3" headerRowDxfId="548" dataDxfId="547" dataCellStyle="Comma"/>
    <tableColumn id="5" name="Column5" headerRowDxfId="546" dataDxfId="545">
      <calculatedColumnFormula>Table25[[#This Row],[Column3]]*Table25[[#This Row],[Column2]]</calculatedColumnFormula>
    </tableColumn>
    <tableColumn id="4" name="Column4" headerRowDxfId="544" dataDxfId="543" dataCellStyle="Percent"/>
    <tableColumn id="6" name="Column6" headerRowDxfId="542" dataDxfId="541" dataCellStyle="Comma">
      <calculatedColumnFormula>Table25[[#This Row],[Column4]]*Table25[[#This Row],[Column2]]</calculatedColumnFormula>
    </tableColumn>
  </tableColumns>
  <tableStyleInfo name="TableStyleLight16" showFirstColumn="0" showLastColumn="0" showRowStripes="1" showColumnStripes="0"/>
</table>
</file>

<file path=xl/tables/table23.xml><?xml version="1.0" encoding="utf-8"?>
<table xmlns="http://schemas.openxmlformats.org/spreadsheetml/2006/main" id="26" name="Table2527" displayName="Table2527" ref="A3:I32" headerRowCount="0" totalsRowShown="0" headerRowDxfId="540" dataDxfId="539">
  <tableColumns count="9">
    <tableColumn id="1" name="Column1" headerRowDxfId="538" dataDxfId="537"/>
    <tableColumn id="2" name="Column2" headerRowDxfId="536" dataDxfId="535" dataCellStyle="Comma"/>
    <tableColumn id="3" name="Column3" headerRowDxfId="534" dataDxfId="533" dataCellStyle="Comma"/>
    <tableColumn id="7" name="Column7" headerRowDxfId="532" dataDxfId="531" dataCellStyle="Comma"/>
    <tableColumn id="8" name="Column8" headerRowDxfId="530" dataDxfId="529" dataCellStyle="Comma"/>
    <tableColumn id="10" name="Column10" headerRowDxfId="528" dataDxfId="527" dataCellStyle="Comma"/>
    <tableColumn id="5" name="Column5" headerRowDxfId="526" dataDxfId="525">
      <calculatedColumnFormula>Table2527[[#This Row],[Column3]]*Table2527[[#This Row],[Column2]]</calculatedColumnFormula>
    </tableColumn>
    <tableColumn id="4" name="Column4" headerRowDxfId="524" dataDxfId="523" dataCellStyle="Percent"/>
    <tableColumn id="6" name="Column6" headerRowDxfId="522" dataDxfId="521" dataCellStyle="Comma">
      <calculatedColumnFormula>Table2527[[#This Row],[Column4]]*Table2527[[#This Row],[Column2]]</calculatedColumnFormula>
    </tableColumn>
  </tableColumns>
  <tableStyleInfo name="TableStyleLight16" showFirstColumn="0" showLastColumn="0" showRowStripes="1" showColumnStripes="0"/>
</table>
</file>

<file path=xl/tables/table24.xml><?xml version="1.0" encoding="utf-8"?>
<table xmlns="http://schemas.openxmlformats.org/spreadsheetml/2006/main" id="16" name="Table2517" displayName="Table2517" ref="A3:L28" headerRowCount="0" totalsRowShown="0" headerRowDxfId="520" dataDxfId="519">
  <tableColumns count="12">
    <tableColumn id="1" name="Column1" headerRowDxfId="518" dataDxfId="517"/>
    <tableColumn id="2" name="Column2" headerRowDxfId="516" dataDxfId="515" dataCellStyle="Comma"/>
    <tableColumn id="4" name="Column4" headerRowDxfId="514" dataDxfId="513" dataCellStyle="Percent"/>
    <tableColumn id="3" name="Column3" headerRowDxfId="512" dataDxfId="511" dataCellStyle="Comma"/>
    <tableColumn id="5" name="Column5" headerRowDxfId="510" dataDxfId="509" dataCellStyle="Comma"/>
    <tableColumn id="6" name="Column6" headerRowDxfId="508" dataDxfId="507" dataCellStyle="Comma"/>
    <tableColumn id="7" name="Column7" headerRowDxfId="506" dataDxfId="505" dataCellStyle="Comma"/>
    <tableColumn id="8" name="Column8" headerRowDxfId="504" dataDxfId="503" dataCellStyle="Comma"/>
    <tableColumn id="9" name="Column9" headerRowDxfId="502" dataDxfId="501" dataCellStyle="Comma"/>
    <tableColumn id="10" name="Column10" headerRowDxfId="500" dataDxfId="499" dataCellStyle="Comma"/>
    <tableColumn id="11" name="Column11" headerRowDxfId="498" dataDxfId="497" dataCellStyle="Comma"/>
    <tableColumn id="12" name="Column12" headerRowDxfId="496" dataDxfId="495" dataCellStyle="Comma"/>
  </tableColumns>
  <tableStyleInfo name="TableStyleLight16" showFirstColumn="0" showLastColumn="0" showRowStripes="1" showColumnStripes="0"/>
</table>
</file>

<file path=xl/tables/table25.xml><?xml version="1.0" encoding="utf-8"?>
<table xmlns="http://schemas.openxmlformats.org/spreadsheetml/2006/main" id="17" name="Table17" displayName="Table17" ref="A34:J42" headerRowCount="0" totalsRowShown="0" headerRowDxfId="494" dataDxfId="493">
  <tableColumns count="10">
    <tableColumn id="1" name="Column1" headerRowDxfId="492" dataDxfId="491"/>
    <tableColumn id="2" name="Column2" headerRowDxfId="490" dataDxfId="489" headerRowCellStyle="Comma" dataCellStyle="Comma"/>
    <tableColumn id="3" name="Column3" headerRowDxfId="488" dataDxfId="487" headerRowCellStyle="Percent" dataCellStyle="Comma">
      <calculatedColumnFormula>SUBTOTAL(109,C21:C33)</calculatedColumnFormula>
    </tableColumn>
    <tableColumn id="4" name="Column4" headerRowDxfId="486" dataDxfId="485" dataCellStyle="Comma"/>
    <tableColumn id="5" name="Column5" headerRowDxfId="484" dataDxfId="483" dataCellStyle="Comma"/>
    <tableColumn id="6" name="Column6" headerRowDxfId="482" dataDxfId="481" dataCellStyle="Comma"/>
    <tableColumn id="7" name="Column7" headerRowDxfId="480" dataDxfId="479" dataCellStyle="Comma"/>
    <tableColumn id="8" name="Column8" headerRowDxfId="478" dataDxfId="477" dataCellStyle="Comma"/>
    <tableColumn id="9" name="Column9" headerRowDxfId="476" dataDxfId="475" dataCellStyle="Comma"/>
    <tableColumn id="10" name="Column10" headerRowDxfId="474" dataDxfId="473" dataCellStyle="Comma"/>
  </tableColumns>
  <tableStyleInfo name="TableStyleLight16" showFirstColumn="0" showLastColumn="0" showRowStripes="1" showColumnStripes="0"/>
</table>
</file>

<file path=xl/tables/table26.xml><?xml version="1.0" encoding="utf-8"?>
<table xmlns="http://schemas.openxmlformats.org/spreadsheetml/2006/main" id="21" name="Table2522" displayName="Table2522" ref="A3:F16" headerRowCount="0" totalsRowShown="0" headerRowDxfId="472" dataDxfId="471">
  <tableColumns count="6">
    <tableColumn id="1" name="Column1" headerRowDxfId="470" dataDxfId="469"/>
    <tableColumn id="2" name="Column2" headerRowDxfId="468" dataDxfId="467" dataCellStyle="Comma"/>
    <tableColumn id="3" name="Column3" headerRowDxfId="466" dataDxfId="465" dataCellStyle="Comma"/>
    <tableColumn id="5" name="Column5" headerRowDxfId="464" dataDxfId="463">
      <calculatedColumnFormula>Table2522[[#This Row],[Column3]]*Table2522[[#This Row],[Column2]]</calculatedColumnFormula>
    </tableColumn>
    <tableColumn id="6" name="Column6" headerRowDxfId="462" dataDxfId="461" dataCellStyle="Comma"/>
    <tableColumn id="4" name="Column4" headerRowDxfId="460" dataDxfId="459" dataCellStyle="Percent"/>
  </tableColumns>
  <tableStyleInfo name="TableStyleLight16" showFirstColumn="0" showLastColumn="0" showRowStripes="1" showColumnStripes="0"/>
</table>
</file>

<file path=xl/tables/table27.xml><?xml version="1.0" encoding="utf-8"?>
<table xmlns="http://schemas.openxmlformats.org/spreadsheetml/2006/main" id="27" name="Table27" displayName="Table27" ref="A5:P63" headerRowCount="0" totalsRowShown="0" headerRowDxfId="458" dataDxfId="457">
  <tableColumns count="16">
    <tableColumn id="1" name="Column1" headerRowDxfId="456" dataDxfId="455"/>
    <tableColumn id="16" name="Column16" headerRowDxfId="33" dataDxfId="32"/>
    <tableColumn id="2" name="Column2" headerRowDxfId="454" dataDxfId="453"/>
    <tableColumn id="3" name="Column3" headerRowDxfId="452" dataDxfId="451"/>
    <tableColumn id="4" name="Column4" headerRowDxfId="450" dataDxfId="449"/>
    <tableColumn id="5" name="Column5" headerRowDxfId="448" dataDxfId="447"/>
    <tableColumn id="15" name="Column14" headerRowDxfId="446" dataDxfId="445"/>
    <tableColumn id="6" name="Column6" headerRowDxfId="444" dataDxfId="443"/>
    <tableColumn id="7" name="Column7" headerRowDxfId="442" dataDxfId="441"/>
    <tableColumn id="8" name="Column8" headerRowDxfId="440" dataDxfId="439"/>
    <tableColumn id="9" name="Column9" headerRowDxfId="438" dataDxfId="437" dataCellStyle="Percent"/>
    <tableColumn id="10" name="Column10" headerRowDxfId="436" dataDxfId="435" dataCellStyle="Comma"/>
    <tableColumn id="14" name="Column15" headerRowDxfId="434" dataDxfId="433"/>
    <tableColumn id="11" name="Column11" headerRowDxfId="432" dataDxfId="431" dataCellStyle="Comma"/>
    <tableColumn id="12" name="Column12" headerRowDxfId="430" dataDxfId="429" dataCellStyle="Comma"/>
    <tableColumn id="13" name="Column13" headerRowDxfId="428" dataDxfId="427" dataCellStyle="Percent"/>
  </tableColumns>
  <tableStyleInfo name="TableStyleLight16" showFirstColumn="0" showLastColumn="0" showRowStripes="1" showColumnStripes="0"/>
</table>
</file>

<file path=xl/tables/table28.xml><?xml version="1.0" encoding="utf-8"?>
<table xmlns="http://schemas.openxmlformats.org/spreadsheetml/2006/main" id="28" name="Table28" displayName="Table28" ref="A5:K34" headerRowCount="0" totalsRowShown="0" headerRowDxfId="426" dataDxfId="425">
  <tableColumns count="11">
    <tableColumn id="1" name="Column1" headerRowDxfId="424" dataDxfId="423"/>
    <tableColumn id="2" name="Column2" headerRowDxfId="422" dataDxfId="421"/>
    <tableColumn id="3" name="Column3" headerRowDxfId="420" dataDxfId="419"/>
    <tableColumn id="4" name="Column4" headerRowDxfId="418" dataDxfId="417"/>
    <tableColumn id="5" name="Column5" headerRowDxfId="416" dataDxfId="415"/>
    <tableColumn id="6" name="Column6" headerRowDxfId="414" dataDxfId="413"/>
    <tableColumn id="7" name="Column7" headerRowDxfId="412" dataDxfId="411"/>
    <tableColumn id="8" name="Column8" headerRowDxfId="410" dataDxfId="409"/>
    <tableColumn id="9" name="Column9" headerRowDxfId="408" dataDxfId="407"/>
    <tableColumn id="10" name="Column10" headerRowDxfId="406" dataDxfId="405"/>
    <tableColumn id="11" name="Column11" headerRowDxfId="404" dataDxfId="403"/>
  </tableColumns>
  <tableStyleInfo name="TableStyleLight16" showFirstColumn="0" showLastColumn="0" showRowStripes="1" showColumnStripes="0"/>
</table>
</file>

<file path=xl/tables/table29.xml><?xml version="1.0" encoding="utf-8"?>
<table xmlns="http://schemas.openxmlformats.org/spreadsheetml/2006/main" id="29" name="Table29" displayName="Table29" ref="A5:J8" headerRowCount="0" totalsRowShown="0" headerRowDxfId="402" dataDxfId="401">
  <tableColumns count="10">
    <tableColumn id="1" name="Column1" dataDxfId="400"/>
    <tableColumn id="2" name="Column2" headerRowDxfId="399" dataDxfId="398"/>
    <tableColumn id="3" name="Column3" headerRowDxfId="397" dataDxfId="396"/>
    <tableColumn id="4" name="Column4" dataDxfId="395"/>
    <tableColumn id="8" name="Column8" dataDxfId="3"/>
    <tableColumn id="9" name="Column9" dataDxfId="2"/>
    <tableColumn id="10" name="Column10" headerRowDxfId="394" dataDxfId="393" dataCellStyle="Comma">
      <calculatedColumnFormula>Table29[[#This Row],[Column9]]*Table29[[#This Row],[Column2]]</calculatedColumnFormula>
    </tableColumn>
    <tableColumn id="11" name="Column11" headerRowDxfId="392" dataDxfId="391" dataCellStyle="Comma">
      <calculatedColumnFormula>Table29[[#This Row],[Column8]]*Table29[[#This Row],[Column3]]</calculatedColumnFormula>
    </tableColumn>
    <tableColumn id="12" name="Column12" headerRowDxfId="390" dataDxfId="1" dataCellStyle="Comma">
      <calculatedColumnFormula>Table29[[#This Row],[Column8]]*Table29[[#This Row],[Column4]]</calculatedColumnFormula>
    </tableColumn>
    <tableColumn id="13" name="Column13" headerRowDxfId="389" dataDxfId="0"/>
  </tableColumns>
  <tableStyleInfo name="TableStyleLight16" showFirstColumn="0" showLastColumn="0" showRowStripes="1" showColumnStripes="0"/>
</table>
</file>

<file path=xl/tables/table3.xml><?xml version="1.0" encoding="utf-8"?>
<table xmlns="http://schemas.openxmlformats.org/spreadsheetml/2006/main" id="1" name="Table1" displayName="Table1" ref="A3:C9" totalsRowShown="0" headerRowDxfId="762" dataDxfId="760" headerRowBorderDxfId="761" tableBorderDxfId="759">
  <tableColumns count="3">
    <tableColumn id="1" name="Particulars" dataDxfId="758"/>
    <tableColumn id="2" name="Acres" dataDxfId="757"/>
    <tableColumn id="3" name="Sq. ft." dataDxfId="756"/>
  </tableColumns>
  <tableStyleInfo name="TableStyleLight16" showFirstColumn="0" showLastColumn="0" showRowStripes="1" showColumnStripes="0"/>
</table>
</file>

<file path=xl/tables/table30.xml><?xml version="1.0" encoding="utf-8"?>
<table xmlns="http://schemas.openxmlformats.org/spreadsheetml/2006/main" id="30" name="Table30" displayName="Table30" ref="A15:F22" headerRowCount="0" totalsRowShown="0" headerRowDxfId="388" dataDxfId="387">
  <tableColumns count="6">
    <tableColumn id="1" name="Column1" dataDxfId="386"/>
    <tableColumn id="2" name="Column2" headerRowDxfId="385" dataDxfId="384"/>
    <tableColumn id="3" name="Column3" headerRowDxfId="383" dataDxfId="382"/>
    <tableColumn id="4" name="Column4" headerRowDxfId="381" dataDxfId="380"/>
    <tableColumn id="5" name="Column5" headerRowDxfId="379" dataDxfId="378" dataCellStyle="Comma"/>
    <tableColumn id="6" name="Column6" headerRowDxfId="377" dataDxfId="376"/>
  </tableColumns>
  <tableStyleInfo name="TableStyleLight16" showFirstColumn="0" showLastColumn="0" showRowStripes="1" showColumnStripes="0"/>
</table>
</file>

<file path=xl/tables/table31.xml><?xml version="1.0" encoding="utf-8"?>
<table xmlns="http://schemas.openxmlformats.org/spreadsheetml/2006/main" id="31" name="Table31" displayName="Table31" ref="A6:E13" headerRowCount="0" totalsRowShown="0" headerRowDxfId="375" dataDxfId="374" tableBorderDxfId="373">
  <tableColumns count="5">
    <tableColumn id="1" name="Column1" dataDxfId="372"/>
    <tableColumn id="2" name="Column2" headerRowDxfId="371" dataDxfId="370"/>
    <tableColumn id="3" name="Column3" headerRowDxfId="369" dataDxfId="368"/>
    <tableColumn id="4" name="Column4" headerRowDxfId="367" dataDxfId="366"/>
    <tableColumn id="5" name="Column5" headerRowDxfId="365" dataDxfId="364"/>
  </tableColumns>
  <tableStyleInfo name="TableStyleLight16" showFirstColumn="0" showLastColumn="0" showRowStripes="1" showColumnStripes="0"/>
</table>
</file>

<file path=xl/tables/table32.xml><?xml version="1.0" encoding="utf-8"?>
<table xmlns="http://schemas.openxmlformats.org/spreadsheetml/2006/main" id="32" name="Table32" displayName="Table32" ref="A16:V23" headerRowCount="0" totalsRowShown="0" headerRowDxfId="363" dataDxfId="362">
  <tableColumns count="22">
    <tableColumn id="1" name="Column1" dataDxfId="361"/>
    <tableColumn id="2" name="Column2" headerRowDxfId="360" dataDxfId="359"/>
    <tableColumn id="3" name="Column3" headerRowDxfId="358" dataDxfId="357"/>
    <tableColumn id="4" name="Column4" headerRowDxfId="356" dataDxfId="355"/>
    <tableColumn id="5" name="Column5" headerRowDxfId="354" dataDxfId="353"/>
    <tableColumn id="6" name="Column6" headerRowDxfId="352" dataDxfId="351"/>
    <tableColumn id="7" name="Column7" headerRowDxfId="350" dataDxfId="349"/>
    <tableColumn id="8" name="Column8" headerRowDxfId="348" dataDxfId="347"/>
    <tableColumn id="9" name="Column9" headerRowDxfId="346" dataDxfId="345"/>
    <tableColumn id="10" name="Column10" headerRowDxfId="344" dataDxfId="343" dataCellStyle="Comma">
      <calculatedColumnFormula>E13*(100%+Table32[[#This Row],[Column2]])</calculatedColumnFormula>
    </tableColumn>
    <tableColumn id="11" name="Column11" headerRowDxfId="342" dataDxfId="341" dataCellStyle="Comma">
      <calculatedColumnFormula>B18*(100%+Table32[[#This Row],[Column3]])</calculatedColumnFormula>
    </tableColumn>
    <tableColumn id="12" name="Column12" headerRowDxfId="340" dataDxfId="339" dataCellStyle="Comma"/>
    <tableColumn id="13" name="Column13" headerRowDxfId="338" dataDxfId="337" dataCellStyle="Comma"/>
    <tableColumn id="14" name="Column14" headerRowDxfId="336" dataDxfId="335" dataCellStyle="Comma"/>
    <tableColumn id="15" name="Column15" headerRowDxfId="334" dataDxfId="333" dataCellStyle="Comma"/>
    <tableColumn id="16" name="Column16" headerRowDxfId="332" dataDxfId="331" dataCellStyle="Comma"/>
    <tableColumn id="17" name="Column17" headerRowDxfId="330" dataDxfId="329" dataCellStyle="Comma"/>
    <tableColumn id="18" name="Column18" headerRowDxfId="328" dataDxfId="327" dataCellStyle="Comma"/>
    <tableColumn id="19" name="Column19" headerRowDxfId="326" dataDxfId="325" dataCellStyle="Comma"/>
    <tableColumn id="20" name="Column20" headerRowDxfId="324" dataDxfId="323" dataCellStyle="Comma"/>
    <tableColumn id="21" name="Column21" headerRowDxfId="322" dataDxfId="321" dataCellStyle="Comma"/>
    <tableColumn id="22" name="Column22" headerRowDxfId="320" dataDxfId="319" dataCellStyle="Comma"/>
  </tableColumns>
  <tableStyleInfo name="TableStyleLight16" showFirstColumn="0" showLastColumn="0" showRowStripes="1" showColumnStripes="0"/>
</table>
</file>

<file path=xl/tables/table33.xml><?xml version="1.0" encoding="utf-8"?>
<table xmlns="http://schemas.openxmlformats.org/spreadsheetml/2006/main" id="33" name="Table33" displayName="Table33" ref="A4:K40" headerRowCount="0" totalsRowShown="0" headerRowDxfId="318" dataDxfId="317">
  <tableColumns count="11">
    <tableColumn id="1" name="Column1" dataDxfId="316"/>
    <tableColumn id="2" name="Column2" dataDxfId="315"/>
    <tableColumn id="3" name="Column3" dataDxfId="314"/>
    <tableColumn id="4" name="Column4" dataDxfId="313"/>
    <tableColumn id="5" name="Column5" dataDxfId="312"/>
    <tableColumn id="6" name="Column6" dataDxfId="311"/>
    <tableColumn id="7" name="Column7" dataDxfId="310"/>
    <tableColumn id="8" name="Column8" dataDxfId="309"/>
    <tableColumn id="9" name="Column9" dataDxfId="308"/>
    <tableColumn id="10" name="Column10" dataDxfId="307"/>
    <tableColumn id="11" name="Column11" dataDxfId="306"/>
  </tableColumns>
  <tableStyleInfo name="TableStyleLight16" showFirstColumn="0" showLastColumn="0" showRowStripes="1" showColumnStripes="0"/>
</table>
</file>

<file path=xl/tables/table34.xml><?xml version="1.0" encoding="utf-8"?>
<table xmlns="http://schemas.openxmlformats.org/spreadsheetml/2006/main" id="34" name="Table34" displayName="Table34" ref="A7:N31" headerRowCount="0" totalsRowCount="1" headerRowDxfId="305" dataDxfId="304" totalsRowDxfId="303">
  <tableColumns count="14">
    <tableColumn id="1" name="Column1" headerRowDxfId="302" dataDxfId="301" totalsRowDxfId="31"/>
    <tableColumn id="2" name="Column2" headerRowDxfId="300" dataDxfId="299" totalsRowDxfId="30"/>
    <tableColumn id="3" name="Column3" headerRowDxfId="298" dataDxfId="297" totalsRowDxfId="29" dataCellStyle="Comma"/>
    <tableColumn id="4" name="Column4" headerRowDxfId="296" dataDxfId="295" totalsRowDxfId="28" dataCellStyle="Comma"/>
    <tableColumn id="5" name="Column5" dataDxfId="294" totalsRowDxfId="27" dataCellStyle="Comma"/>
    <tableColumn id="6" name="Column6" dataDxfId="293" totalsRowDxfId="26" dataCellStyle="Comma"/>
    <tableColumn id="7" name="Column7" dataDxfId="292" totalsRowDxfId="25" dataCellStyle="Comma"/>
    <tableColumn id="8" name="Column8" dataDxfId="291" totalsRowDxfId="24" dataCellStyle="Comma"/>
    <tableColumn id="9" name="Column9" dataDxfId="290" totalsRowDxfId="23" dataCellStyle="Comma"/>
    <tableColumn id="10" name="Column10" dataDxfId="289" totalsRowDxfId="22" dataCellStyle="Comma"/>
    <tableColumn id="11" name="Column11" dataDxfId="288" totalsRowDxfId="21" dataCellStyle="Comma"/>
    <tableColumn id="12" name="Column12" dataDxfId="287" totalsRowDxfId="20"/>
    <tableColumn id="13" name="Column13" dataDxfId="286" totalsRowDxfId="19"/>
    <tableColumn id="14" name="Column14" dataDxfId="285" totalsRowDxfId="18"/>
  </tableColumns>
  <tableStyleInfo name="TableStyleLight16" showFirstColumn="0" showLastColumn="0" showRowStripes="1" showColumnStripes="0"/>
</table>
</file>

<file path=xl/tables/table35.xml><?xml version="1.0" encoding="utf-8"?>
<table xmlns="http://schemas.openxmlformats.org/spreadsheetml/2006/main" id="35" name="Table35" displayName="Table35" ref="A34:L40" headerRowCount="0" totalsRowShown="0" headerRowDxfId="284" dataDxfId="283">
  <tableColumns count="12">
    <tableColumn id="1" name="Column1" dataDxfId="282"/>
    <tableColumn id="2" name="Column2" headerRowDxfId="281" dataDxfId="280"/>
    <tableColumn id="3" name="Column3" dataDxfId="279" dataCellStyle="Comma"/>
    <tableColumn id="4" name="Column4" dataDxfId="278" dataCellStyle="Comma"/>
    <tableColumn id="5" name="Column5" dataDxfId="277" dataCellStyle="Comma"/>
    <tableColumn id="6" name="Column6" dataDxfId="276" dataCellStyle="Comma"/>
    <tableColumn id="7" name="Column7" dataDxfId="275" dataCellStyle="Comma"/>
    <tableColumn id="8" name="Column8" dataDxfId="274" dataCellStyle="Comma"/>
    <tableColumn id="9" name="Column9" dataDxfId="273" dataCellStyle="Comma"/>
    <tableColumn id="10" name="Column10" dataDxfId="272" dataCellStyle="Comma"/>
    <tableColumn id="11" name="Column11" dataDxfId="271" dataCellStyle="Comma"/>
    <tableColumn id="12" name="Column12" headerRowDxfId="270" dataDxfId="269" dataCellStyle="Comma">
      <calculatedColumnFormula>SUM(Table35[[#This Row],[Column2]:[Column11]])</calculatedColumnFormula>
    </tableColumn>
  </tableColumns>
  <tableStyleInfo name="TableStyleLight16" showFirstColumn="0" showLastColumn="0" showRowStripes="1" showColumnStripes="0"/>
</table>
</file>

<file path=xl/tables/table36.xml><?xml version="1.0" encoding="utf-8"?>
<table xmlns="http://schemas.openxmlformats.org/spreadsheetml/2006/main" id="39" name="Table39" displayName="Table39" ref="A5:L23" headerRowCount="0" totalsRowShown="0" headerRowDxfId="268" dataDxfId="267">
  <tableColumns count="12">
    <tableColumn id="1" name="Column1" headerRowDxfId="266" dataDxfId="265"/>
    <tableColumn id="2" name="Column2" headerRowDxfId="264" dataDxfId="263" dataCellStyle="Comma"/>
    <tableColumn id="3" name="Column3" headerRowDxfId="262" dataDxfId="261" dataCellStyle="Comma"/>
    <tableColumn id="4" name="Column4" headerRowDxfId="260" dataDxfId="259" dataCellStyle="Comma"/>
    <tableColumn id="5" name="Column5" headerRowDxfId="258" dataDxfId="257" dataCellStyle="Comma"/>
    <tableColumn id="6" name="Column6" headerRowDxfId="256" dataDxfId="255" dataCellStyle="Comma"/>
    <tableColumn id="7" name="Column7" headerRowDxfId="254" dataDxfId="253" dataCellStyle="Comma"/>
    <tableColumn id="8" name="Column8" headerRowDxfId="252" dataDxfId="251" dataCellStyle="Comma"/>
    <tableColumn id="9" name="Column9" headerRowDxfId="250" dataDxfId="249" dataCellStyle="Comma"/>
    <tableColumn id="10" name="Column10" headerRowDxfId="248" dataDxfId="247" dataCellStyle="Comma"/>
    <tableColumn id="11" name="Column11" headerRowDxfId="246" dataDxfId="245" dataCellStyle="Comma"/>
    <tableColumn id="12" name="Column12" headerRowDxfId="244" dataDxfId="243" dataCellStyle="Comma"/>
  </tableColumns>
  <tableStyleInfo name="TableStyleLight16" showFirstColumn="0" showLastColumn="0" showRowStripes="1" showColumnStripes="0"/>
</table>
</file>

<file path=xl/tables/table37.xml><?xml version="1.0" encoding="utf-8"?>
<table xmlns="http://schemas.openxmlformats.org/spreadsheetml/2006/main" id="43" name="Table43" displayName="Table43" ref="A21:X35" headerRowCount="0" totalsRowShown="0" headerRowDxfId="242" dataDxfId="241">
  <tableColumns count="24">
    <tableColumn id="1" name="Column1" dataDxfId="240"/>
    <tableColumn id="2" name="Column2" dataDxfId="17"/>
    <tableColumn id="3" name="Column3" dataDxfId="239"/>
    <tableColumn id="4" name="Column4" dataDxfId="238"/>
    <tableColumn id="5" name="Column5" dataDxfId="237"/>
    <tableColumn id="6" name="Column6" headerRowDxfId="236" dataDxfId="235"/>
    <tableColumn id="7" name="Column7" dataDxfId="234"/>
    <tableColumn id="8" name="Column8" dataDxfId="233"/>
    <tableColumn id="9" name="Column9" dataDxfId="232"/>
    <tableColumn id="10" name="Column10" dataDxfId="231"/>
    <tableColumn id="11" name="Column11" dataDxfId="230"/>
    <tableColumn id="12" name="Column12" headerRowDxfId="229" dataDxfId="228"/>
    <tableColumn id="13" name="Column13" headerRowDxfId="227" dataDxfId="226"/>
    <tableColumn id="14" name="Column14" headerRowDxfId="225" dataDxfId="224"/>
    <tableColumn id="15" name="Column15" headerRowDxfId="223" dataDxfId="222"/>
    <tableColumn id="16" name="Column16" headerRowDxfId="221" dataDxfId="220"/>
    <tableColumn id="17" name="Column17" headerRowDxfId="219" dataDxfId="218"/>
    <tableColumn id="18" name="Column18" headerRowDxfId="217" dataDxfId="216"/>
    <tableColumn id="19" name="Column19" headerRowDxfId="215" dataDxfId="214"/>
    <tableColumn id="20" name="Column20" headerRowDxfId="213" dataDxfId="212"/>
    <tableColumn id="21" name="Column21" headerRowDxfId="211" dataDxfId="210"/>
    <tableColumn id="22" name="Column22" headerRowDxfId="209" dataDxfId="208"/>
    <tableColumn id="23" name="Column23" headerRowDxfId="207" dataDxfId="206"/>
    <tableColumn id="24" name="Column24" headerRowDxfId="205" dataDxfId="204"/>
  </tableColumns>
  <tableStyleInfo name="TableStyleLight16" showFirstColumn="0" showLastColumn="0" showRowStripes="1" showColumnStripes="0"/>
</table>
</file>

<file path=xl/tables/table38.xml><?xml version="1.0" encoding="utf-8"?>
<table xmlns="http://schemas.openxmlformats.org/spreadsheetml/2006/main" id="44" name="Table44" displayName="Table44" ref="A6:K17" headerRowCount="0" totalsRowShown="0" headerRowDxfId="203" dataDxfId="202" tableBorderDxfId="201">
  <tableColumns count="11">
    <tableColumn id="1" name="Column1" dataDxfId="200"/>
    <tableColumn id="2" name="Column2" dataDxfId="199"/>
    <tableColumn id="3" name="Column3" dataDxfId="198"/>
    <tableColumn id="4" name="Column4" dataDxfId="197"/>
    <tableColumn id="5" name="Column5" dataDxfId="196"/>
    <tableColumn id="6" name="Column6" headerRowDxfId="195" dataDxfId="194"/>
    <tableColumn id="7" name="Column7" dataDxfId="193"/>
    <tableColumn id="8" name="Column8" dataDxfId="192"/>
    <tableColumn id="9" name="Column9" dataDxfId="191"/>
    <tableColumn id="10" name="Column10" dataDxfId="190"/>
    <tableColumn id="11" name="Column11" dataDxfId="189"/>
  </tableColumns>
  <tableStyleInfo name="TableStyleLight16" showFirstColumn="0" showLastColumn="0" showRowStripes="1" showColumnStripes="0"/>
</table>
</file>

<file path=xl/tables/table39.xml><?xml version="1.0" encoding="utf-8"?>
<table xmlns="http://schemas.openxmlformats.org/spreadsheetml/2006/main" id="40" name="Table40" displayName="Table40" ref="A6:N15" headerRowCount="0" totalsRowShown="0" headerRowDxfId="188" dataDxfId="187">
  <tableColumns count="14">
    <tableColumn id="1" name="Column1" dataDxfId="186"/>
    <tableColumn id="2" name="Column2" dataDxfId="185"/>
    <tableColumn id="3" name="Column3" headerRowDxfId="184" dataDxfId="183"/>
    <tableColumn id="4" name="Column4" dataDxfId="182"/>
    <tableColumn id="5" name="Column5" dataDxfId="181"/>
    <tableColumn id="6" name="Column6" dataDxfId="180"/>
    <tableColumn id="7" name="Column7" dataDxfId="179"/>
    <tableColumn id="8" name="Column8" dataDxfId="178"/>
    <tableColumn id="9" name="Column9" dataDxfId="177"/>
    <tableColumn id="10" name="Column10" headerRowDxfId="176" dataDxfId="175">
      <calculatedColumnFormula>Table40[[#This Row],[Column4]]*J$5</calculatedColumnFormula>
    </tableColumn>
    <tableColumn id="11" name="Column11" headerRowDxfId="174" dataDxfId="173"/>
    <tableColumn id="12" name="Column12" headerRowDxfId="172" dataDxfId="171"/>
    <tableColumn id="13" name="Column13" headerRowDxfId="170" dataDxfId="169"/>
    <tableColumn id="14" name="Column14" headerRowDxfId="168" dataDxfId="167"/>
  </tableColumns>
  <tableStyleInfo name="TableStyleLight16" showFirstColumn="0" showLastColumn="0" showRowStripes="1" showColumnStripes="0"/>
</table>
</file>

<file path=xl/tables/table4.xml><?xml version="1.0" encoding="utf-8"?>
<table xmlns="http://schemas.openxmlformats.org/spreadsheetml/2006/main" id="2" name="Table2" displayName="Table2" ref="A12:B26" headerRowCount="0" totalsRowShown="0" headerRowDxfId="755" dataDxfId="753" headerRowBorderDxfId="754" tableBorderDxfId="752">
  <tableColumns count="2">
    <tableColumn id="1" name="Column1" headerRowDxfId="751" dataDxfId="750"/>
    <tableColumn id="2" name="Column2" headerRowDxfId="749" dataDxfId="748"/>
  </tableColumns>
  <tableStyleInfo name="TableStyleLight16" showFirstColumn="0" showLastColumn="0" showRowStripes="1" showColumnStripes="0"/>
</table>
</file>

<file path=xl/tables/table40.xml><?xml version="1.0" encoding="utf-8"?>
<table xmlns="http://schemas.openxmlformats.org/spreadsheetml/2006/main" id="41" name="Table41" displayName="Table41" ref="A5:U50" headerRowCount="0" totalsRowShown="0" headerRowDxfId="166" dataDxfId="165">
  <tableColumns count="21">
    <tableColumn id="1" name="Column1" dataDxfId="164"/>
    <tableColumn id="2" name="Column2" dataDxfId="163" dataCellStyle="Percent"/>
    <tableColumn id="3" name="Column3" dataDxfId="162" dataCellStyle="Comma"/>
    <tableColumn id="4" name="Column4" dataDxfId="161" dataCellStyle="Percent"/>
    <tableColumn id="5" name="Column5" dataDxfId="160" dataCellStyle="Comma"/>
    <tableColumn id="6" name="Column6" dataDxfId="159" dataCellStyle="Percent"/>
    <tableColumn id="7" name="Column7" dataDxfId="158" dataCellStyle="Comma"/>
    <tableColumn id="8" name="Column8" dataDxfId="157" dataCellStyle="Percent"/>
    <tableColumn id="9" name="Column9" dataDxfId="156" dataCellStyle="Comma"/>
    <tableColumn id="10" name="Column10" dataDxfId="155" dataCellStyle="Percent"/>
    <tableColumn id="11" name="Column11" dataDxfId="154" dataCellStyle="Comma"/>
    <tableColumn id="12" name="Column12" headerRowDxfId="153" dataDxfId="152" dataCellStyle="Percent">
      <calculatedColumnFormula>Table41[[#This Row],[Column10]]</calculatedColumnFormula>
    </tableColumn>
    <tableColumn id="13" name="Column13" headerRowDxfId="151" dataDxfId="150" dataCellStyle="Comma">
      <calculatedColumnFormula>'17'!G10</calculatedColumnFormula>
    </tableColumn>
    <tableColumn id="14" name="Column14" headerRowDxfId="149" dataDxfId="148" dataCellStyle="Percent">
      <calculatedColumnFormula>Table41[[#This Row],[Column2]]</calculatedColumnFormula>
    </tableColumn>
    <tableColumn id="15" name="Column15" headerRowDxfId="147" dataDxfId="146" dataCellStyle="Comma">
      <calculatedColumnFormula>'17'!H10</calculatedColumnFormula>
    </tableColumn>
    <tableColumn id="16" name="Column16" headerRowDxfId="145" dataDxfId="144" dataCellStyle="Percent">
      <calculatedColumnFormula>Table41[[#This Row],[Column4]]</calculatedColumnFormula>
    </tableColumn>
    <tableColumn id="17" name="Column17" headerRowDxfId="143" dataDxfId="142" dataCellStyle="Comma">
      <calculatedColumnFormula>'17'!I10</calculatedColumnFormula>
    </tableColumn>
    <tableColumn id="18" name="Column18" headerRowDxfId="141" dataDxfId="140" dataCellStyle="Percent">
      <calculatedColumnFormula>Table41[[#This Row],[Column6]]</calculatedColumnFormula>
    </tableColumn>
    <tableColumn id="19" name="Column19" headerRowDxfId="139" dataDxfId="138" dataCellStyle="Comma">
      <calculatedColumnFormula>'17'!J10</calculatedColumnFormula>
    </tableColumn>
    <tableColumn id="20" name="Column20" headerRowDxfId="137" dataDxfId="136" dataCellStyle="Percent">
      <calculatedColumnFormula>Table41[[#This Row],[Column8]]</calculatedColumnFormula>
    </tableColumn>
    <tableColumn id="21" name="Column21" headerRowDxfId="135" dataDxfId="134" dataCellStyle="Comma">
      <calculatedColumnFormula>'17'!K10</calculatedColumnFormula>
    </tableColumn>
  </tableColumns>
  <tableStyleInfo name="TableStyleLight16" showFirstColumn="0" showLastColumn="0" showRowStripes="1" showColumnStripes="0"/>
</table>
</file>

<file path=xl/tables/table41.xml><?xml version="1.0" encoding="utf-8"?>
<table xmlns="http://schemas.openxmlformats.org/spreadsheetml/2006/main" id="42" name="Table42" displayName="Table42" ref="A51:O74" headerRowCount="0" totalsRowShown="0" headerRowDxfId="133" dataDxfId="132">
  <tableColumns count="15">
    <tableColumn id="1" name="Column1" dataDxfId="131"/>
    <tableColumn id="2" name="Column2" headerRowDxfId="130" dataDxfId="129" dataCellStyle="Percent"/>
    <tableColumn id="3" name="Column3" dataDxfId="128" dataCellStyle="Comma"/>
    <tableColumn id="4" name="Column4" headerRowDxfId="127" dataDxfId="126" dataCellStyle="Percent"/>
    <tableColumn id="5" name="Column5" dataDxfId="125" dataCellStyle="Comma"/>
    <tableColumn id="6" name="Column6" headerRowDxfId="124" dataDxfId="123" dataCellStyle="Percent"/>
    <tableColumn id="7" name="Column7" dataDxfId="122" dataCellStyle="Comma"/>
    <tableColumn id="8" name="Column8" headerRowDxfId="121" dataDxfId="120" dataCellStyle="Percent"/>
    <tableColumn id="9" name="Column9" dataDxfId="119" dataCellStyle="Comma"/>
    <tableColumn id="10" name="Column10" headerRowDxfId="118" dataDxfId="117" dataCellStyle="Percent"/>
    <tableColumn id="11" name="Column11" dataDxfId="116" dataCellStyle="Comma"/>
    <tableColumn id="12" name="Column12" headerRowDxfId="115" dataDxfId="114" dataCellStyle="Percent">
      <calculatedColumnFormula>Table42[[#This Row],[Column10]]</calculatedColumnFormula>
    </tableColumn>
    <tableColumn id="13" name="Column13" headerRowDxfId="113" dataDxfId="112" dataCellStyle="Comma">
      <calculatedColumnFormula>'21'!J7</calculatedColumnFormula>
    </tableColumn>
    <tableColumn id="14" name="Column14" headerRowDxfId="111" dataDxfId="110" dataCellStyle="Percent">
      <calculatedColumnFormula>Table42[[#This Row],[Column11]]/O$51</calculatedColumnFormula>
    </tableColumn>
    <tableColumn id="15" name="Column15" headerRowDxfId="109" dataDxfId="108" dataCellStyle="Comma">
      <calculatedColumnFormula>'17'!H13</calculatedColumnFormula>
    </tableColumn>
  </tableColumns>
  <tableStyleInfo name="TableStyleLight16" showFirstColumn="0" showLastColumn="0" showRowStripes="1" showColumnStripes="0"/>
</table>
</file>

<file path=xl/tables/table5.xml><?xml version="1.0" encoding="utf-8"?>
<table xmlns="http://schemas.openxmlformats.org/spreadsheetml/2006/main" id="3" name="Table3" displayName="Table3" ref="A8:C27" totalsRowShown="0" headerRowDxfId="747" dataDxfId="745" headerRowBorderDxfId="746" tableBorderDxfId="744">
  <tableColumns count="3">
    <tableColumn id="1" name="Particulars" dataDxfId="743"/>
    <tableColumn id="2" name="Area " dataDxfId="742"/>
    <tableColumn id="3" name="Column1" dataDxfId="741"/>
  </tableColumns>
  <tableStyleInfo name="TableStyleLight16" showFirstColumn="0" showLastColumn="0" showRowStripes="1" showColumnStripes="0"/>
</table>
</file>

<file path=xl/tables/table6.xml><?xml version="1.0" encoding="utf-8"?>
<table xmlns="http://schemas.openxmlformats.org/spreadsheetml/2006/main" id="5" name="Table5" displayName="Table5" ref="A3:E7" totalsRowShown="0" headerRowDxfId="740" dataDxfId="738" headerRowBorderDxfId="739" tableBorderDxfId="737">
  <tableColumns count="5">
    <tableColumn id="1" name="Type" dataDxfId="736"/>
    <tableColumn id="2" name="Number" dataDxfId="735"/>
    <tableColumn id="3" name="Unit Bays" dataDxfId="734"/>
    <tableColumn id="4" name="Total Bays" dataDxfId="733"/>
    <tableColumn id="5" name="Keys" dataDxfId="732"/>
  </tableColumns>
  <tableStyleInfo name="TableStyleLight16" showFirstColumn="0" showLastColumn="0" showRowStripes="1" showColumnStripes="0"/>
</table>
</file>

<file path=xl/tables/table7.xml><?xml version="1.0" encoding="utf-8"?>
<table xmlns="http://schemas.openxmlformats.org/spreadsheetml/2006/main" id="7" name="Table7" displayName="Table7" ref="A12:E17" totalsRowShown="0" headerRowDxfId="731" dataDxfId="729" headerRowBorderDxfId="730" tableBorderDxfId="728">
  <tableColumns count="5">
    <tableColumn id="1" name="Column1" dataDxfId="727"/>
    <tableColumn id="2" name="Column2" dataDxfId="726" dataCellStyle="Comma"/>
    <tableColumn id="3" name="Column3" dataDxfId="725" dataCellStyle="Comma"/>
    <tableColumn id="4" name="Column4" dataDxfId="724" dataCellStyle="Comma"/>
    <tableColumn id="5" name="Column5" dataDxfId="723" dataCellStyle="Comma"/>
  </tableColumns>
  <tableStyleInfo name="TableStyleLight16" showFirstColumn="0" showLastColumn="0" showRowStripes="1" showColumnStripes="0"/>
</table>
</file>

<file path=xl/tables/table8.xml><?xml version="1.0" encoding="utf-8"?>
<table xmlns="http://schemas.openxmlformats.org/spreadsheetml/2006/main" id="8" name="Table8" displayName="Table8" ref="A21:C30" totalsRowShown="0" headerRowDxfId="722" dataDxfId="720" headerRowBorderDxfId="721" tableBorderDxfId="719">
  <autoFilter ref="A21:C30"/>
  <tableColumns count="3">
    <tableColumn id="1" name="Column1" dataDxfId="718"/>
    <tableColumn id="2" name="Column2" dataDxfId="717" dataCellStyle="Comma"/>
    <tableColumn id="3" name="Column3" dataDxfId="716" dataCellStyle="Comma">
      <calculatedColumnFormula>Table8[[#This Row],[Column2]]*10.76</calculatedColumnFormula>
    </tableColumn>
  </tableColumns>
  <tableStyleInfo name="TableStyleLight16" showFirstColumn="0" showLastColumn="0" showRowStripes="1" showColumnStripes="0"/>
</table>
</file>

<file path=xl/tables/table9.xml><?xml version="1.0" encoding="utf-8"?>
<table xmlns="http://schemas.openxmlformats.org/spreadsheetml/2006/main" id="10" name="Table10" displayName="Table10" ref="A4:C5" headerRowCount="0" totalsRowShown="0" headerRowDxfId="715" dataDxfId="713" headerRowBorderDxfId="714" tableBorderDxfId="712">
  <tableColumns count="3">
    <tableColumn id="1" name="Column1" headerRowDxfId="711" dataDxfId="710"/>
    <tableColumn id="2" name="Column2" headerRowDxfId="709" dataDxfId="708" dataCellStyle="Comma"/>
    <tableColumn id="3" name="Column3" headerRowDxfId="707" dataDxfId="706" dataCellStyle="Comma"/>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10.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13.bin"/><Relationship Id="rId5" Type="http://schemas.openxmlformats.org/officeDocument/2006/relationships/table" Target="../tables/table20.xml"/><Relationship Id="rId4" Type="http://schemas.openxmlformats.org/officeDocument/2006/relationships/table" Target="../tables/table19.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vmlDrawing" Target="../drawings/vmlDrawing4.vml"/><Relationship Id="rId1" Type="http://schemas.openxmlformats.org/officeDocument/2006/relationships/printerSettings" Target="../printerSettings/printerSettings28.bin"/><Relationship Id="rId5" Type="http://schemas.openxmlformats.org/officeDocument/2006/relationships/comments" Target="../comments4.xml"/><Relationship Id="rId4" Type="http://schemas.openxmlformats.org/officeDocument/2006/relationships/table" Target="../tables/table4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9.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dimension ref="A1:B42"/>
  <sheetViews>
    <sheetView showGridLines="0" tabSelected="1" workbookViewId="0">
      <selection activeCell="B3" sqref="B3"/>
    </sheetView>
  </sheetViews>
  <sheetFormatPr defaultRowHeight="15"/>
  <cols>
    <col min="1" max="1" width="11.5703125" style="6" customWidth="1"/>
    <col min="2" max="2" width="118.42578125" style="3" customWidth="1"/>
    <col min="3" max="16384" width="9.140625" style="1"/>
  </cols>
  <sheetData>
    <row r="1" spans="1:2" ht="15.75" thickBot="1"/>
    <row r="2" spans="1:2" ht="32.25" customHeight="1" thickBot="1">
      <c r="A2" s="762" t="s">
        <v>672</v>
      </c>
      <c r="B2" s="763"/>
    </row>
    <row r="4" spans="1:2" ht="15.75">
      <c r="A4" s="10" t="s">
        <v>478</v>
      </c>
      <c r="B4" s="15" t="s">
        <v>479</v>
      </c>
    </row>
    <row r="5" spans="1:2">
      <c r="A5" s="11"/>
      <c r="B5" s="7"/>
    </row>
    <row r="6" spans="1:2">
      <c r="A6" s="11" t="s">
        <v>484</v>
      </c>
      <c r="B6" s="7" t="s">
        <v>485</v>
      </c>
    </row>
    <row r="7" spans="1:2">
      <c r="A7" s="11" t="s">
        <v>504</v>
      </c>
      <c r="B7" s="7" t="s">
        <v>505</v>
      </c>
    </row>
    <row r="8" spans="1:2">
      <c r="A8" s="11" t="s">
        <v>487</v>
      </c>
      <c r="B8" s="7" t="s">
        <v>488</v>
      </c>
    </row>
    <row r="9" spans="1:2">
      <c r="A9" s="11" t="s">
        <v>577</v>
      </c>
      <c r="B9" s="7" t="s">
        <v>671</v>
      </c>
    </row>
    <row r="10" spans="1:2">
      <c r="A10" s="11" t="s">
        <v>490</v>
      </c>
      <c r="B10" s="7" t="s">
        <v>567</v>
      </c>
    </row>
    <row r="11" spans="1:2">
      <c r="A11" s="11" t="s">
        <v>198</v>
      </c>
      <c r="B11" s="7" t="s">
        <v>491</v>
      </c>
    </row>
    <row r="12" spans="1:2">
      <c r="A12" s="11" t="s">
        <v>258</v>
      </c>
      <c r="B12" s="7" t="s">
        <v>480</v>
      </c>
    </row>
    <row r="13" spans="1:2">
      <c r="A13" s="11" t="s">
        <v>259</v>
      </c>
      <c r="B13" s="7" t="s">
        <v>481</v>
      </c>
    </row>
    <row r="14" spans="1:2">
      <c r="A14" s="11" t="s">
        <v>260</v>
      </c>
      <c r="B14" s="7" t="s">
        <v>492</v>
      </c>
    </row>
    <row r="15" spans="1:2">
      <c r="A15" s="11" t="s">
        <v>261</v>
      </c>
      <c r="B15" s="7" t="s">
        <v>493</v>
      </c>
    </row>
    <row r="16" spans="1:2">
      <c r="A16" s="11" t="s">
        <v>468</v>
      </c>
      <c r="B16" s="7" t="s">
        <v>486</v>
      </c>
    </row>
    <row r="17" spans="1:2">
      <c r="A17" s="11" t="s">
        <v>482</v>
      </c>
      <c r="B17" s="7" t="s">
        <v>489</v>
      </c>
    </row>
    <row r="18" spans="1:2">
      <c r="A18" s="11" t="s">
        <v>483</v>
      </c>
      <c r="B18" s="7" t="s">
        <v>494</v>
      </c>
    </row>
    <row r="19" spans="1:2">
      <c r="A19" s="11" t="s">
        <v>495</v>
      </c>
      <c r="B19" s="7" t="s">
        <v>496</v>
      </c>
    </row>
    <row r="20" spans="1:2">
      <c r="A20" s="12"/>
      <c r="B20" s="8"/>
    </row>
    <row r="22" spans="1:2" ht="15.75">
      <c r="A22" s="13" t="s">
        <v>497</v>
      </c>
      <c r="B22" s="15" t="s">
        <v>498</v>
      </c>
    </row>
    <row r="23" spans="1:2">
      <c r="A23" s="11"/>
      <c r="B23" s="7"/>
    </row>
    <row r="24" spans="1:2" ht="15.75">
      <c r="A24" s="931">
        <v>1</v>
      </c>
      <c r="B24" s="932" t="s">
        <v>640</v>
      </c>
    </row>
    <row r="25" spans="1:2">
      <c r="A25" s="931">
        <v>2</v>
      </c>
      <c r="B25" s="932" t="s">
        <v>568</v>
      </c>
    </row>
    <row r="26" spans="1:2" ht="30">
      <c r="A26" s="931">
        <v>3</v>
      </c>
      <c r="B26" s="932" t="s">
        <v>639</v>
      </c>
    </row>
    <row r="27" spans="1:2" ht="30">
      <c r="A27" s="931">
        <v>4</v>
      </c>
      <c r="B27" s="932" t="s">
        <v>569</v>
      </c>
    </row>
    <row r="28" spans="1:2" ht="45">
      <c r="A28" s="931">
        <v>5</v>
      </c>
      <c r="B28" s="932" t="s">
        <v>570</v>
      </c>
    </row>
    <row r="29" spans="1:2" ht="30">
      <c r="A29" s="931">
        <v>6</v>
      </c>
      <c r="B29" s="932" t="s">
        <v>515</v>
      </c>
    </row>
    <row r="30" spans="1:2" ht="30">
      <c r="A30" s="931">
        <v>7</v>
      </c>
      <c r="B30" s="932" t="s">
        <v>643</v>
      </c>
    </row>
    <row r="31" spans="1:2" ht="30.75">
      <c r="A31" s="931">
        <v>8</v>
      </c>
      <c r="B31" s="932" t="s">
        <v>641</v>
      </c>
    </row>
    <row r="32" spans="1:2" ht="15.75">
      <c r="A32" s="931">
        <v>9</v>
      </c>
      <c r="B32" s="932" t="s">
        <v>642</v>
      </c>
    </row>
    <row r="33" spans="1:2" ht="30">
      <c r="A33" s="931">
        <v>10</v>
      </c>
      <c r="B33" s="932" t="s">
        <v>601</v>
      </c>
    </row>
    <row r="34" spans="1:2">
      <c r="A34" s="12"/>
      <c r="B34" s="8"/>
    </row>
    <row r="36" spans="1:2" s="2" customFormat="1" ht="15.75">
      <c r="A36" s="13" t="s">
        <v>499</v>
      </c>
      <c r="B36" s="15" t="s">
        <v>500</v>
      </c>
    </row>
    <row r="37" spans="1:2" s="2" customFormat="1" ht="15.75">
      <c r="A37" s="14"/>
      <c r="B37" s="9"/>
    </row>
    <row r="38" spans="1:2">
      <c r="A38" s="11">
        <v>1</v>
      </c>
      <c r="B38" s="7" t="s">
        <v>501</v>
      </c>
    </row>
    <row r="39" spans="1:2">
      <c r="A39" s="11"/>
      <c r="B39" s="7" t="s">
        <v>502</v>
      </c>
    </row>
    <row r="40" spans="1:2">
      <c r="A40" s="11"/>
      <c r="B40" s="7" t="s">
        <v>503</v>
      </c>
    </row>
    <row r="41" spans="1:2">
      <c r="A41" s="11"/>
      <c r="B41" s="7"/>
    </row>
    <row r="42" spans="1:2">
      <c r="A42" s="12">
        <v>2</v>
      </c>
      <c r="B42" s="8" t="s">
        <v>657</v>
      </c>
    </row>
  </sheetData>
  <sheetProtection password="DA39" sheet="1" objects="1" scenarios="1" selectLockedCells="1"/>
  <mergeCells count="1">
    <mergeCell ref="A2:B2"/>
  </mergeCells>
  <printOptions horizontalCentered="1"/>
  <pageMargins left="0.25" right="0.25" top="0.75" bottom="0.75" header="0.3" footer="0.3"/>
  <pageSetup scale="75" fitToHeight="2" orientation="landscape" r:id="rId1"/>
  <headerFooter>
    <oddFooter>&amp;L&amp;F&amp;C&amp;P of &amp;N&amp;R&amp;A</oddFooter>
  </headerFooter>
  <rowBreaks count="1" manualBreakCount="1">
    <brk id="35" max="16383" man="1"/>
  </rowBreaks>
</worksheet>
</file>

<file path=xl/worksheets/sheet10.xml><?xml version="1.0" encoding="utf-8"?>
<worksheet xmlns="http://schemas.openxmlformats.org/spreadsheetml/2006/main" xmlns:r="http://schemas.openxmlformats.org/officeDocument/2006/relationships">
  <sheetPr>
    <pageSetUpPr fitToPage="1"/>
  </sheetPr>
  <dimension ref="A1:E41"/>
  <sheetViews>
    <sheetView showGridLines="0" workbookViewId="0">
      <selection activeCell="D6" sqref="D6"/>
    </sheetView>
  </sheetViews>
  <sheetFormatPr defaultRowHeight="15"/>
  <cols>
    <col min="1" max="1" width="56.7109375" style="176" bestFit="1" customWidth="1"/>
    <col min="2" max="4" width="14.140625" style="39" customWidth="1"/>
    <col min="5" max="5" width="10.85546875" style="39" bestFit="1" customWidth="1"/>
    <col min="6" max="16384" width="9.140625" style="176"/>
  </cols>
  <sheetData>
    <row r="1" spans="1:5" ht="16.5" thickBot="1">
      <c r="A1" s="807" t="s">
        <v>449</v>
      </c>
      <c r="B1" s="808"/>
      <c r="C1" s="808"/>
      <c r="D1" s="809"/>
    </row>
    <row r="2" spans="1:5" ht="15.75" thickBot="1"/>
    <row r="3" spans="1:5" s="196" customFormat="1" ht="16.5" thickBot="1">
      <c r="A3" s="274" t="s">
        <v>58</v>
      </c>
      <c r="B3" s="275" t="s">
        <v>46</v>
      </c>
      <c r="C3" s="276" t="s">
        <v>59</v>
      </c>
    </row>
    <row r="4" spans="1:5">
      <c r="A4" s="277" t="s">
        <v>60</v>
      </c>
      <c r="B4" s="278">
        <f>Table10[[#This Row],[Column3]]/10.76</f>
        <v>0</v>
      </c>
      <c r="C4" s="279">
        <f>'Area&amp;Cost'!D24</f>
        <v>0</v>
      </c>
      <c r="D4" s="176"/>
      <c r="E4" s="176"/>
    </row>
    <row r="5" spans="1:5">
      <c r="A5" s="280" t="s">
        <v>57</v>
      </c>
      <c r="B5" s="281">
        <f>Table10[[#This Row],[Column3]]/10.76</f>
        <v>0</v>
      </c>
      <c r="C5" s="282">
        <f>0.2*C4</f>
        <v>0</v>
      </c>
      <c r="D5" s="176"/>
      <c r="E5" s="176"/>
    </row>
    <row r="6" spans="1:5" ht="16.5" thickBot="1">
      <c r="A6" s="283" t="s">
        <v>42</v>
      </c>
      <c r="B6" s="284">
        <f>SUBTOTAL(109,Table10[[#All],[Column2]])</f>
        <v>0</v>
      </c>
      <c r="C6" s="284">
        <f>SUBTOTAL(109,Table10[[#All],[Column3]])</f>
        <v>0</v>
      </c>
      <c r="D6" s="176"/>
      <c r="E6" s="176"/>
    </row>
    <row r="7" spans="1:5" s="196" customFormat="1" ht="16.5" thickBot="1">
      <c r="A7" s="176"/>
      <c r="B7" s="39"/>
      <c r="C7" s="39"/>
      <c r="D7" s="45"/>
      <c r="E7" s="45"/>
    </row>
    <row r="8" spans="1:5" ht="16.5" thickBot="1">
      <c r="A8" s="274" t="s">
        <v>61</v>
      </c>
      <c r="B8" s="275" t="s">
        <v>46</v>
      </c>
      <c r="C8" s="276" t="s">
        <v>59</v>
      </c>
    </row>
    <row r="9" spans="1:5">
      <c r="A9" s="277" t="s">
        <v>62</v>
      </c>
      <c r="B9" s="278">
        <f>Table11[[#This Row],[Column3]]/10.76</f>
        <v>0</v>
      </c>
      <c r="C9" s="279">
        <f>'Area&amp;Cost'!D25</f>
        <v>0</v>
      </c>
      <c r="D9" s="176"/>
      <c r="E9" s="176"/>
    </row>
    <row r="10" spans="1:5">
      <c r="A10" s="285" t="s">
        <v>63</v>
      </c>
      <c r="B10" s="286">
        <f>Table11[[#This Row],[Column3]]/10.76</f>
        <v>0</v>
      </c>
      <c r="C10" s="287">
        <f>'Area&amp;Cost'!D26</f>
        <v>0</v>
      </c>
      <c r="D10" s="176"/>
      <c r="E10" s="176"/>
    </row>
    <row r="11" spans="1:5">
      <c r="A11" s="285" t="s">
        <v>64</v>
      </c>
      <c r="B11" s="286">
        <f>Table11[[#This Row],[Column3]]/10.76</f>
        <v>0</v>
      </c>
      <c r="C11" s="287">
        <f>'Area&amp;Cost'!D27</f>
        <v>0</v>
      </c>
      <c r="D11" s="176"/>
      <c r="E11" s="176"/>
    </row>
    <row r="12" spans="1:5" ht="15.75" thickBot="1">
      <c r="A12" s="280" t="s">
        <v>57</v>
      </c>
      <c r="B12" s="281">
        <f>Table11[[#This Row],[Column3]]/10.76</f>
        <v>0</v>
      </c>
      <c r="C12" s="282">
        <f>0.2*(C9)</f>
        <v>0</v>
      </c>
      <c r="D12" s="176"/>
      <c r="E12" s="176"/>
    </row>
    <row r="13" spans="1:5" ht="16.5" thickBot="1">
      <c r="A13" s="288" t="s">
        <v>42</v>
      </c>
      <c r="B13" s="289">
        <f>B9+B12</f>
        <v>0</v>
      </c>
      <c r="C13" s="289">
        <f>C9+C12</f>
        <v>0</v>
      </c>
      <c r="D13" s="176"/>
      <c r="E13" s="176"/>
    </row>
    <row r="14" spans="1:5" ht="16.5" thickBot="1">
      <c r="A14" s="290"/>
      <c r="B14" s="291"/>
      <c r="C14" s="291"/>
    </row>
    <row r="15" spans="1:5" ht="15.75">
      <c r="A15" s="274" t="s">
        <v>14</v>
      </c>
      <c r="B15" s="275" t="s">
        <v>65</v>
      </c>
      <c r="C15" s="275" t="s">
        <v>46</v>
      </c>
      <c r="D15" s="276" t="s">
        <v>9</v>
      </c>
      <c r="E15" s="176"/>
    </row>
    <row r="16" spans="1:5" ht="15.75" hidden="1" thickBot="1">
      <c r="A16" s="252"/>
      <c r="B16" s="252"/>
      <c r="C16" s="252"/>
      <c r="D16" s="252"/>
      <c r="E16" s="176"/>
    </row>
    <row r="17" spans="1:5" ht="15.75" hidden="1">
      <c r="A17" s="292"/>
      <c r="B17" s="218"/>
      <c r="C17" s="218"/>
      <c r="D17" s="293"/>
      <c r="E17" s="176"/>
    </row>
    <row r="18" spans="1:5">
      <c r="A18" s="294" t="s">
        <v>66</v>
      </c>
      <c r="B18" s="295">
        <f>'Area&amp;Cost'!B9</f>
        <v>0</v>
      </c>
      <c r="C18" s="295">
        <f t="shared" ref="C18:C23" si="0">D18/10.76</f>
        <v>0</v>
      </c>
      <c r="D18" s="296">
        <f>'Area&amp;Cost'!D9</f>
        <v>0</v>
      </c>
      <c r="E18" s="176"/>
    </row>
    <row r="19" spans="1:5">
      <c r="A19" s="285" t="s">
        <v>67</v>
      </c>
      <c r="B19" s="295">
        <f>'Area&amp;Cost'!B10</f>
        <v>0</v>
      </c>
      <c r="C19" s="295">
        <f t="shared" si="0"/>
        <v>0</v>
      </c>
      <c r="D19" s="287">
        <f>'Area&amp;Cost'!D10</f>
        <v>0</v>
      </c>
      <c r="E19" s="176"/>
    </row>
    <row r="20" spans="1:5">
      <c r="A20" s="285" t="s">
        <v>68</v>
      </c>
      <c r="B20" s="295">
        <f>'Area&amp;Cost'!B11</f>
        <v>0</v>
      </c>
      <c r="C20" s="295">
        <f t="shared" si="0"/>
        <v>0</v>
      </c>
      <c r="D20" s="287">
        <f>'Area&amp;Cost'!D11</f>
        <v>0</v>
      </c>
      <c r="E20" s="176"/>
    </row>
    <row r="21" spans="1:5">
      <c r="A21" s="285" t="s">
        <v>69</v>
      </c>
      <c r="B21" s="295">
        <f>'Area&amp;Cost'!B12</f>
        <v>0</v>
      </c>
      <c r="C21" s="295">
        <f t="shared" si="0"/>
        <v>0</v>
      </c>
      <c r="D21" s="287">
        <f>'Area&amp;Cost'!D12</f>
        <v>0</v>
      </c>
      <c r="E21" s="176"/>
    </row>
    <row r="22" spans="1:5">
      <c r="A22" s="285" t="s">
        <v>70</v>
      </c>
      <c r="B22" s="286"/>
      <c r="C22" s="295">
        <f t="shared" si="0"/>
        <v>0</v>
      </c>
      <c r="D22" s="287">
        <f>'Area&amp;Cost'!D28</f>
        <v>0</v>
      </c>
      <c r="E22" s="176"/>
    </row>
    <row r="23" spans="1:5">
      <c r="A23" s="280" t="s">
        <v>57</v>
      </c>
      <c r="B23" s="281"/>
      <c r="C23" s="295">
        <f t="shared" si="0"/>
        <v>0</v>
      </c>
      <c r="D23" s="282">
        <f>0.2*(D18+D19+D20+D21+D22)</f>
        <v>0</v>
      </c>
      <c r="E23" s="176"/>
    </row>
    <row r="24" spans="1:5" s="196" customFormat="1" ht="16.5" thickBot="1">
      <c r="A24" s="283" t="s">
        <v>42</v>
      </c>
      <c r="B24" s="284">
        <f>SUM(B18:B23)</f>
        <v>0</v>
      </c>
      <c r="C24" s="284">
        <f>SUM(C18:C23)</f>
        <v>0</v>
      </c>
      <c r="D24" s="284">
        <f>SUM(D18:D23)</f>
        <v>0</v>
      </c>
    </row>
    <row r="25" spans="1:5" ht="15.75" thickBot="1">
      <c r="E25" s="176"/>
    </row>
    <row r="26" spans="1:5" ht="15.75">
      <c r="A26" s="274" t="s">
        <v>15</v>
      </c>
      <c r="B26" s="275" t="s">
        <v>65</v>
      </c>
      <c r="C26" s="275" t="s">
        <v>46</v>
      </c>
      <c r="D26" s="276" t="s">
        <v>9</v>
      </c>
      <c r="E26" s="176"/>
    </row>
    <row r="27" spans="1:5">
      <c r="A27" s="285" t="s">
        <v>72</v>
      </c>
      <c r="B27" s="286">
        <f>'Area&amp;Cost'!B13</f>
        <v>0</v>
      </c>
      <c r="C27" s="286">
        <f>D27/10.76</f>
        <v>0</v>
      </c>
      <c r="D27" s="297">
        <f>'Area&amp;Cost'!D13</f>
        <v>0</v>
      </c>
      <c r="E27" s="176"/>
    </row>
    <row r="28" spans="1:5">
      <c r="A28" s="285" t="s">
        <v>71</v>
      </c>
      <c r="B28" s="286">
        <f>'Area&amp;Cost'!B14</f>
        <v>0</v>
      </c>
      <c r="C28" s="286">
        <f>D28/10.76</f>
        <v>0</v>
      </c>
      <c r="D28" s="297">
        <f>'Area&amp;Cost'!D14</f>
        <v>0</v>
      </c>
      <c r="E28" s="176"/>
    </row>
    <row r="29" spans="1:5">
      <c r="A29" s="285" t="s">
        <v>55</v>
      </c>
      <c r="B29" s="286"/>
      <c r="C29" s="286">
        <f>D29/10.76</f>
        <v>0</v>
      </c>
      <c r="D29" s="297">
        <f>'Area&amp;Cost'!D29</f>
        <v>0</v>
      </c>
      <c r="E29" s="176"/>
    </row>
    <row r="30" spans="1:5" ht="15.75" thickBot="1">
      <c r="A30" s="280" t="s">
        <v>57</v>
      </c>
      <c r="B30" s="281"/>
      <c r="C30" s="286">
        <f>D30/10.76</f>
        <v>0</v>
      </c>
      <c r="D30" s="298">
        <f>0.2*(D27+D28+D29)</f>
        <v>0</v>
      </c>
      <c r="E30" s="176"/>
    </row>
    <row r="31" spans="1:5" ht="15.75">
      <c r="A31" s="299" t="s">
        <v>42</v>
      </c>
      <c r="B31" s="300">
        <f>SUM(B27:B30)</f>
        <v>0</v>
      </c>
      <c r="C31" s="300">
        <f>SUM(C27:C30)</f>
        <v>0</v>
      </c>
      <c r="D31" s="300">
        <f>SUM(D27:D30)</f>
        <v>0</v>
      </c>
      <c r="E31" s="176"/>
    </row>
    <row r="32" spans="1:5">
      <c r="E32" s="176"/>
    </row>
    <row r="33" spans="1:3" ht="15.75">
      <c r="A33" s="255" t="s">
        <v>73</v>
      </c>
      <c r="B33" s="256" t="s">
        <v>46</v>
      </c>
      <c r="C33" s="256" t="s">
        <v>9</v>
      </c>
    </row>
    <row r="34" spans="1:3">
      <c r="A34" s="176" t="s">
        <v>74</v>
      </c>
      <c r="B34" s="39">
        <f>Table1214[[#This Row],[Sq Ft]]/10.76</f>
        <v>0</v>
      </c>
      <c r="C34" s="39">
        <f>'Area&amp;Cost'!D30</f>
        <v>0</v>
      </c>
    </row>
    <row r="35" spans="1:3">
      <c r="A35" s="176" t="s">
        <v>75</v>
      </c>
      <c r="B35" s="39">
        <f>Table1214[[#This Row],[Sq Ft]]/10.76</f>
        <v>0</v>
      </c>
      <c r="C35" s="39">
        <f>'Area&amp;Cost'!D31</f>
        <v>0</v>
      </c>
    </row>
    <row r="36" spans="1:3">
      <c r="A36" s="176" t="s">
        <v>76</v>
      </c>
      <c r="B36" s="39">
        <f>Table1214[[#This Row],[Sq Ft]]/10.76</f>
        <v>0</v>
      </c>
      <c r="C36" s="39">
        <f>'Area&amp;Cost'!D32</f>
        <v>0</v>
      </c>
    </row>
    <row r="37" spans="1:3">
      <c r="A37" s="176" t="s">
        <v>77</v>
      </c>
      <c r="B37" s="39">
        <f>Table1214[[#This Row],[Sq Ft]]/10.76</f>
        <v>0</v>
      </c>
      <c r="C37" s="39">
        <f>'Area&amp;Cost'!D33</f>
        <v>0</v>
      </c>
    </row>
    <row r="38" spans="1:3">
      <c r="A38" s="176" t="s">
        <v>78</v>
      </c>
      <c r="B38" s="39">
        <f>Table1214[[#This Row],[Sq Ft]]/10.76</f>
        <v>0</v>
      </c>
      <c r="C38" s="39">
        <f>'Area&amp;Cost'!D34</f>
        <v>0</v>
      </c>
    </row>
    <row r="39" spans="1:3">
      <c r="A39" s="176" t="s">
        <v>79</v>
      </c>
      <c r="B39" s="39">
        <f>Table1214[[#This Row],[Sq Ft]]/10.76</f>
        <v>0</v>
      </c>
      <c r="C39" s="39">
        <f>'Area&amp;Cost'!D35</f>
        <v>0</v>
      </c>
    </row>
    <row r="40" spans="1:3">
      <c r="A40" s="176" t="s">
        <v>80</v>
      </c>
      <c r="B40" s="39">
        <f>Table1214[[#This Row],[Sq Ft]]/10.76</f>
        <v>0</v>
      </c>
      <c r="C40" s="39">
        <f>'Area&amp;Cost'!D36</f>
        <v>0</v>
      </c>
    </row>
    <row r="41" spans="1:3" ht="15.75">
      <c r="A41" s="196" t="s">
        <v>42</v>
      </c>
      <c r="B41" s="45">
        <f>SUBTOTAL(109,B34:B40)</f>
        <v>0</v>
      </c>
      <c r="C41" s="45">
        <f>SUBTOTAL(109,C34:C40)</f>
        <v>0</v>
      </c>
    </row>
  </sheetData>
  <sheetProtection password="DA39" sheet="1" objects="1" scenarios="1" selectLockedCells="1"/>
  <mergeCells count="1">
    <mergeCell ref="A1:D1"/>
  </mergeCells>
  <pageMargins left="0.25" right="0.25" top="0.75" bottom="0.75" header="0.3" footer="0.3"/>
  <pageSetup scale="86" orientation="landscape" r:id="rId1"/>
  <headerFooter>
    <oddFooter>&amp;L&amp;F&amp;R&amp;A</oddFooter>
  </headerFooter>
  <tableParts count="5">
    <tablePart r:id="rId2"/>
    <tablePart r:id="rId3"/>
    <tablePart r:id="rId4"/>
    <tablePart r:id="rId5"/>
    <tablePart r:id="rId6"/>
  </tableParts>
</worksheet>
</file>

<file path=xl/worksheets/sheet11.xml><?xml version="1.0" encoding="utf-8"?>
<worksheet xmlns="http://schemas.openxmlformats.org/spreadsheetml/2006/main" xmlns:r="http://schemas.openxmlformats.org/officeDocument/2006/relationships">
  <sheetPr>
    <pageSetUpPr fitToPage="1"/>
  </sheetPr>
  <dimension ref="A1:F49"/>
  <sheetViews>
    <sheetView showGridLines="0" workbookViewId="0">
      <selection activeCell="G2" sqref="G2"/>
    </sheetView>
  </sheetViews>
  <sheetFormatPr defaultRowHeight="15"/>
  <cols>
    <col min="1" max="1" width="7.42578125" style="176" customWidth="1"/>
    <col min="2" max="2" width="42.5703125" style="176" customWidth="1"/>
    <col min="3" max="3" width="11.85546875" style="39" bestFit="1" customWidth="1"/>
    <col min="4" max="4" width="10.5703125" style="43" bestFit="1" customWidth="1"/>
    <col min="5" max="5" width="18.7109375" style="39" customWidth="1"/>
    <col min="6" max="6" width="18.7109375" style="39" hidden="1" customWidth="1"/>
    <col min="7" max="16384" width="9.140625" style="176"/>
  </cols>
  <sheetData>
    <row r="1" spans="1:6" ht="16.5" thickBot="1">
      <c r="A1" s="807" t="s">
        <v>145</v>
      </c>
      <c r="B1" s="808"/>
      <c r="C1" s="808"/>
      <c r="D1" s="808"/>
      <c r="E1" s="809"/>
      <c r="F1" s="982"/>
    </row>
    <row r="3" spans="1:6" ht="15.75">
      <c r="A3" s="255" t="s">
        <v>81</v>
      </c>
      <c r="B3" s="255" t="s">
        <v>0</v>
      </c>
      <c r="C3" s="256" t="s">
        <v>82</v>
      </c>
      <c r="D3" s="267" t="s">
        <v>83</v>
      </c>
      <c r="E3" s="256" t="s">
        <v>666</v>
      </c>
      <c r="F3" s="256" t="s">
        <v>512</v>
      </c>
    </row>
    <row r="4" spans="1:6" ht="15.75">
      <c r="A4" s="255"/>
      <c r="B4" s="255"/>
      <c r="C4" s="256" t="s">
        <v>84</v>
      </c>
      <c r="D4" s="267"/>
      <c r="E4" s="981" t="s">
        <v>687</v>
      </c>
      <c r="F4" s="256" t="s">
        <v>511</v>
      </c>
    </row>
    <row r="5" spans="1:6">
      <c r="A5" s="176">
        <v>1</v>
      </c>
      <c r="B5" s="176" t="s">
        <v>85</v>
      </c>
      <c r="C5" s="39">
        <f>'6'!C6</f>
        <v>0</v>
      </c>
      <c r="D5" s="43">
        <f>'6'!D6</f>
        <v>0</v>
      </c>
      <c r="E5" s="39">
        <f>Table15[[#This Row],[Present]]*Table15[[#This Row],[Escal.]]+Table15[[#This Row],[Present]]</f>
        <v>0</v>
      </c>
      <c r="F5" s="39" t="e">
        <f>(Table15[[#This Row],[TOTAL amount]]*100)/'1'!$B$26</f>
        <v>#DIV/0!</v>
      </c>
    </row>
    <row r="6" spans="1:6">
      <c r="A6" s="176">
        <v>2</v>
      </c>
      <c r="B6" s="176" t="s">
        <v>86</v>
      </c>
      <c r="C6" s="39">
        <f>'6'!C7</f>
        <v>0</v>
      </c>
      <c r="D6" s="43">
        <f>'6'!D7</f>
        <v>0</v>
      </c>
      <c r="E6" s="39">
        <f>Table15[[#This Row],[Present]]*Table15[[#This Row],[Escal.]]+Table15[[#This Row],[Present]]</f>
        <v>0</v>
      </c>
      <c r="F6" s="39" t="e">
        <f>(Table15[[#This Row],[TOTAL amount]]*100)/'1'!$B$26</f>
        <v>#DIV/0!</v>
      </c>
    </row>
    <row r="7" spans="1:6">
      <c r="A7" s="176">
        <v>3</v>
      </c>
      <c r="B7" s="176" t="s">
        <v>87</v>
      </c>
      <c r="C7" s="39">
        <f>'6'!C8</f>
        <v>0</v>
      </c>
      <c r="D7" s="43">
        <f>'6'!D8</f>
        <v>0</v>
      </c>
      <c r="E7" s="39">
        <f>Table15[[#This Row],[Present]]*Table15[[#This Row],[Escal.]]+Table15[[#This Row],[Present]]</f>
        <v>0</v>
      </c>
      <c r="F7" s="39" t="e">
        <f>(Table15[[#This Row],[TOTAL amount]]*100)/'1'!$B$26</f>
        <v>#DIV/0!</v>
      </c>
    </row>
    <row r="8" spans="1:6">
      <c r="A8" s="176">
        <v>4</v>
      </c>
      <c r="B8" s="176" t="s">
        <v>88</v>
      </c>
      <c r="C8" s="39">
        <f>'6'!C9</f>
        <v>0</v>
      </c>
      <c r="D8" s="43">
        <f>'6'!D9</f>
        <v>0</v>
      </c>
      <c r="E8" s="39">
        <f>Table15[[#This Row],[Present]]*Table15[[#This Row],[Escal.]]+Table15[[#This Row],[Present]]</f>
        <v>0</v>
      </c>
      <c r="F8" s="39" t="e">
        <f>(Table15[[#This Row],[TOTAL amount]]*100)/'1'!$B$26</f>
        <v>#DIV/0!</v>
      </c>
    </row>
    <row r="9" spans="1:6">
      <c r="A9" s="176">
        <v>5</v>
      </c>
      <c r="B9" s="176" t="s">
        <v>89</v>
      </c>
      <c r="C9" s="39">
        <f>'6'!C10</f>
        <v>0</v>
      </c>
      <c r="D9" s="43">
        <f>'6'!D10</f>
        <v>0</v>
      </c>
      <c r="E9" s="39">
        <f>Table15[[#This Row],[Present]]*Table15[[#This Row],[Escal.]]+Table15[[#This Row],[Present]]</f>
        <v>0</v>
      </c>
      <c r="F9" s="39" t="e">
        <f>(Table15[[#This Row],[TOTAL amount]]*100)/'1'!$B$26</f>
        <v>#DIV/0!</v>
      </c>
    </row>
    <row r="10" spans="1:6" s="196" customFormat="1" ht="16.5" thickBot="1">
      <c r="A10" s="238"/>
      <c r="B10" s="238" t="s">
        <v>506</v>
      </c>
      <c r="C10" s="241">
        <f>SUBTOTAL(109,C4:C9)</f>
        <v>0</v>
      </c>
      <c r="D10" s="239">
        <f>SUBTOTAL(101,D4:D9)</f>
        <v>0</v>
      </c>
      <c r="E10" s="241">
        <f>SUBTOTAL(109,E4:E9)</f>
        <v>0</v>
      </c>
      <c r="F10" s="241" t="e">
        <f>SUBTOTAL(109,F4:F9)</f>
        <v>#DIV/0!</v>
      </c>
    </row>
    <row r="11" spans="1:6" ht="15.75" thickTop="1">
      <c r="A11" s="176">
        <v>6</v>
      </c>
      <c r="B11" s="176" t="s">
        <v>91</v>
      </c>
      <c r="C11" s="39">
        <f>'6'!C13</f>
        <v>0</v>
      </c>
      <c r="D11" s="43">
        <f>'6'!D13</f>
        <v>0</v>
      </c>
      <c r="E11" s="39">
        <f>Table15[[#This Row],[Present]]*Table15[[#This Row],[Escal.]]+Table15[[#This Row],[Present]]</f>
        <v>0</v>
      </c>
      <c r="F11" s="39" t="e">
        <f>(Table15[[#This Row],[TOTAL amount]]*100)/'1'!$B$26</f>
        <v>#DIV/0!</v>
      </c>
    </row>
    <row r="12" spans="1:6">
      <c r="A12" s="176">
        <v>7</v>
      </c>
      <c r="B12" s="176" t="s">
        <v>92</v>
      </c>
      <c r="C12" s="39">
        <f>'6'!C14</f>
        <v>0</v>
      </c>
      <c r="D12" s="43">
        <f>'6'!D14</f>
        <v>0</v>
      </c>
      <c r="E12" s="39">
        <f>Table15[[#This Row],[Present]]*Table15[[#This Row],[Escal.]]+Table15[[#This Row],[Present]]</f>
        <v>0</v>
      </c>
      <c r="F12" s="39" t="e">
        <f>(Table15[[#This Row],[TOTAL amount]]*100)/'1'!$B$26</f>
        <v>#DIV/0!</v>
      </c>
    </row>
    <row r="13" spans="1:6">
      <c r="A13" s="176">
        <v>8</v>
      </c>
      <c r="B13" s="176" t="s">
        <v>93</v>
      </c>
      <c r="C13" s="39">
        <f>'6'!C15</f>
        <v>0</v>
      </c>
      <c r="D13" s="43">
        <f>'6'!D15</f>
        <v>0</v>
      </c>
      <c r="E13" s="39">
        <f>Table15[[#This Row],[Present]]*Table15[[#This Row],[Escal.]]+Table15[[#This Row],[Present]]</f>
        <v>0</v>
      </c>
      <c r="F13" s="39" t="e">
        <f>(Table15[[#This Row],[TOTAL amount]]*100)/'1'!$B$26</f>
        <v>#DIV/0!</v>
      </c>
    </row>
    <row r="14" spans="1:6">
      <c r="A14" s="176">
        <v>9</v>
      </c>
      <c r="B14" s="176" t="s">
        <v>94</v>
      </c>
      <c r="C14" s="39">
        <f>'6'!C16</f>
        <v>0</v>
      </c>
      <c r="D14" s="43">
        <f>'6'!D16</f>
        <v>0</v>
      </c>
      <c r="E14" s="39">
        <f>Table15[[#This Row],[Present]]*Table15[[#This Row],[Escal.]]+Table15[[#This Row],[Present]]</f>
        <v>0</v>
      </c>
      <c r="F14" s="39" t="e">
        <f>(Table15[[#This Row],[TOTAL amount]]*100)/'1'!$B$26</f>
        <v>#DIV/0!</v>
      </c>
    </row>
    <row r="15" spans="1:6">
      <c r="A15" s="176">
        <v>10</v>
      </c>
      <c r="B15" s="176" t="s">
        <v>95</v>
      </c>
      <c r="C15" s="39">
        <f>'6'!C17</f>
        <v>0</v>
      </c>
      <c r="D15" s="43">
        <f>'6'!D17</f>
        <v>0</v>
      </c>
      <c r="E15" s="39">
        <f>Table15[[#This Row],[Present]]*Table15[[#This Row],[Escal.]]+Table15[[#This Row],[Present]]</f>
        <v>0</v>
      </c>
      <c r="F15" s="39" t="e">
        <f>(Table15[[#This Row],[TOTAL amount]]*100)/'1'!$B$26</f>
        <v>#DIV/0!</v>
      </c>
    </row>
    <row r="16" spans="1:6">
      <c r="A16" s="176">
        <v>11</v>
      </c>
      <c r="B16" s="176" t="s">
        <v>96</v>
      </c>
      <c r="C16" s="39">
        <f>'6'!C18</f>
        <v>0</v>
      </c>
      <c r="D16" s="43">
        <f>'6'!D18</f>
        <v>0</v>
      </c>
      <c r="E16" s="39">
        <f>Table15[[#This Row],[Present]]*Table15[[#This Row],[Escal.]]+Table15[[#This Row],[Present]]</f>
        <v>0</v>
      </c>
      <c r="F16" s="39" t="e">
        <f>(Table15[[#This Row],[TOTAL amount]]*100)/'1'!$B$26</f>
        <v>#DIV/0!</v>
      </c>
    </row>
    <row r="17" spans="1:6">
      <c r="A17" s="176">
        <v>12</v>
      </c>
      <c r="B17" s="176" t="s">
        <v>97</v>
      </c>
      <c r="C17" s="39">
        <f>'6'!C19</f>
        <v>0</v>
      </c>
      <c r="D17" s="43">
        <f>'6'!D19</f>
        <v>0</v>
      </c>
      <c r="E17" s="39">
        <f>Table15[[#This Row],[Present]]*Table15[[#This Row],[Escal.]]+Table15[[#This Row],[Present]]</f>
        <v>0</v>
      </c>
      <c r="F17" s="39" t="e">
        <f>(Table15[[#This Row],[TOTAL amount]]*100)/'1'!$B$26</f>
        <v>#DIV/0!</v>
      </c>
    </row>
    <row r="18" spans="1:6">
      <c r="A18" s="176">
        <v>13</v>
      </c>
      <c r="B18" s="176" t="s">
        <v>98</v>
      </c>
      <c r="C18" s="39">
        <f>'6'!C20</f>
        <v>0</v>
      </c>
      <c r="D18" s="43">
        <f>'6'!D20</f>
        <v>0</v>
      </c>
      <c r="E18" s="39">
        <f>Table15[[#This Row],[Present]]*Table15[[#This Row],[Escal.]]+Table15[[#This Row],[Present]]</f>
        <v>0</v>
      </c>
      <c r="F18" s="39" t="e">
        <f>(Table15[[#This Row],[TOTAL amount]]*100)/'1'!$B$26</f>
        <v>#DIV/0!</v>
      </c>
    </row>
    <row r="19" spans="1:6" ht="16.5" thickBot="1">
      <c r="A19" s="268"/>
      <c r="B19" s="238" t="s">
        <v>507</v>
      </c>
      <c r="C19" s="241">
        <f>SUBTOTAL(109,C10:C18)</f>
        <v>0</v>
      </c>
      <c r="D19" s="239">
        <f>SUBTOTAL(101,D10:D18)</f>
        <v>0</v>
      </c>
      <c r="E19" s="241">
        <f>SUBTOTAL(109,E10:E18)</f>
        <v>0</v>
      </c>
      <c r="F19" s="241" t="e">
        <f>SUBTOTAL(109,F10:F18)</f>
        <v>#DIV/0!</v>
      </c>
    </row>
    <row r="20" spans="1:6" ht="15.75" thickTop="1">
      <c r="A20" s="176">
        <v>14</v>
      </c>
      <c r="B20" s="176" t="s">
        <v>99</v>
      </c>
      <c r="C20" s="39">
        <f>'6'!C24</f>
        <v>0</v>
      </c>
      <c r="D20" s="43">
        <f>'6'!D24</f>
        <v>0</v>
      </c>
      <c r="E20" s="39">
        <f>Table15[[#This Row],[Present]]*Table15[[#This Row],[Escal.]]+Table15[[#This Row],[Present]]</f>
        <v>0</v>
      </c>
      <c r="F20" s="39" t="e">
        <f>(Table15[[#This Row],[TOTAL amount]]*100)/'1'!$B$26</f>
        <v>#DIV/0!</v>
      </c>
    </row>
    <row r="21" spans="1:6">
      <c r="A21" s="176">
        <v>15</v>
      </c>
      <c r="B21" s="176" t="s">
        <v>100</v>
      </c>
      <c r="C21" s="39">
        <f>'6'!C25</f>
        <v>0</v>
      </c>
      <c r="D21" s="43">
        <f>'6'!D25</f>
        <v>0</v>
      </c>
      <c r="E21" s="39">
        <f>Table15[[#This Row],[Present]]*Table15[[#This Row],[Escal.]]+Table15[[#This Row],[Present]]</f>
        <v>0</v>
      </c>
      <c r="F21" s="39" t="e">
        <f>(Table15[[#This Row],[TOTAL amount]]*100)/'1'!$B$26</f>
        <v>#DIV/0!</v>
      </c>
    </row>
    <row r="22" spans="1:6">
      <c r="A22" s="176">
        <v>16</v>
      </c>
      <c r="B22" s="176" t="s">
        <v>101</v>
      </c>
      <c r="C22" s="39">
        <f>'6'!C26</f>
        <v>0</v>
      </c>
      <c r="D22" s="43">
        <f>'6'!D26</f>
        <v>0</v>
      </c>
      <c r="E22" s="39">
        <f>Table15[[#This Row],[Present]]*Table15[[#This Row],[Escal.]]+Table15[[#This Row],[Present]]</f>
        <v>0</v>
      </c>
      <c r="F22" s="39" t="e">
        <f>(Table15[[#This Row],[TOTAL amount]]*100)/'1'!$B$26</f>
        <v>#DIV/0!</v>
      </c>
    </row>
    <row r="23" spans="1:6">
      <c r="A23" s="176">
        <v>17</v>
      </c>
      <c r="B23" s="176" t="s">
        <v>102</v>
      </c>
      <c r="C23" s="39">
        <f>'6'!C27</f>
        <v>0</v>
      </c>
      <c r="D23" s="43">
        <f>'6'!D27</f>
        <v>0</v>
      </c>
      <c r="E23" s="39">
        <f>Table15[[#This Row],[Present]]*Table15[[#This Row],[Escal.]]+Table15[[#This Row],[Present]]</f>
        <v>0</v>
      </c>
      <c r="F23" s="39" t="e">
        <f>(Table15[[#This Row],[TOTAL amount]]*100)/'1'!$B$26</f>
        <v>#DIV/0!</v>
      </c>
    </row>
    <row r="24" spans="1:6">
      <c r="A24" s="176">
        <v>18</v>
      </c>
      <c r="B24" s="176" t="s">
        <v>103</v>
      </c>
      <c r="C24" s="39">
        <f>'6'!C28</f>
        <v>0</v>
      </c>
      <c r="D24" s="43">
        <f>'6'!D28</f>
        <v>0</v>
      </c>
      <c r="E24" s="39">
        <f>Table15[[#This Row],[Present]]*Table15[[#This Row],[Escal.]]+Table15[[#This Row],[Present]]</f>
        <v>0</v>
      </c>
      <c r="F24" s="39" t="e">
        <f>(Table15[[#This Row],[TOTAL amount]]*100)/'1'!$B$26</f>
        <v>#DIV/0!</v>
      </c>
    </row>
    <row r="25" spans="1:6">
      <c r="A25" s="176">
        <v>19</v>
      </c>
      <c r="B25" s="176" t="s">
        <v>104</v>
      </c>
      <c r="C25" s="39">
        <f>'6'!C29</f>
        <v>0</v>
      </c>
      <c r="D25" s="43">
        <f>'6'!D29</f>
        <v>0</v>
      </c>
      <c r="E25" s="39">
        <f>Table15[[#This Row],[Present]]*Table15[[#This Row],[Escal.]]+Table15[[#This Row],[Present]]</f>
        <v>0</v>
      </c>
      <c r="F25" s="39" t="e">
        <f>(Table15[[#This Row],[TOTAL amount]]*100)/'1'!$B$26</f>
        <v>#DIV/0!</v>
      </c>
    </row>
    <row r="26" spans="1:6" s="196" customFormat="1" ht="15.75">
      <c r="A26" s="269"/>
      <c r="B26" s="269" t="s">
        <v>508</v>
      </c>
      <c r="C26" s="270">
        <f>SUBTOTAL(109,C20:C25)</f>
        <v>0</v>
      </c>
      <c r="D26" s="271">
        <f>SUBTOTAL(101,D20:D25)</f>
        <v>0</v>
      </c>
      <c r="E26" s="270">
        <f>SUBTOTAL(109,E20:E25)</f>
        <v>0</v>
      </c>
      <c r="F26" s="270" t="e">
        <f>SUBTOTAL(109,F20:F25)</f>
        <v>#DIV/0!</v>
      </c>
    </row>
    <row r="27" spans="1:6" s="196" customFormat="1" ht="15.75">
      <c r="A27" s="269"/>
      <c r="B27" s="269"/>
      <c r="C27" s="270"/>
      <c r="D27" s="271"/>
      <c r="E27" s="270"/>
      <c r="F27" s="270"/>
    </row>
    <row r="28" spans="1:6" s="196" customFormat="1" ht="16.5" thickBot="1">
      <c r="A28" s="238"/>
      <c r="B28" s="238" t="s">
        <v>105</v>
      </c>
      <c r="C28" s="241">
        <f>SUBTOTAL(109,C4:C26)</f>
        <v>0</v>
      </c>
      <c r="D28" s="239" t="e">
        <f>(Table15[[#This Row],[TOTAL amount]]-Table15[[#This Row],[Present]])/Table15[[#This Row],[Present]]</f>
        <v>#DIV/0!</v>
      </c>
      <c r="E28" s="241">
        <f>SUBTOTAL(109,E4:E26)</f>
        <v>0</v>
      </c>
      <c r="F28" s="241" t="e">
        <f>SUBTOTAL(109,F4:F26)</f>
        <v>#DIV/0!</v>
      </c>
    </row>
    <row r="29" spans="1:6" s="196" customFormat="1" ht="16.5" thickTop="1">
      <c r="A29" s="264"/>
      <c r="B29" s="264"/>
      <c r="C29" s="265"/>
      <c r="D29" s="266"/>
      <c r="E29" s="265"/>
      <c r="F29" s="265"/>
    </row>
    <row r="30" spans="1:6" ht="16.5" thickBot="1">
      <c r="A30" s="238">
        <v>20</v>
      </c>
      <c r="B30" s="238" t="s">
        <v>510</v>
      </c>
      <c r="C30" s="241">
        <f>'6'!C34</f>
        <v>0</v>
      </c>
      <c r="D30" s="239">
        <f>'6'!D34</f>
        <v>0</v>
      </c>
      <c r="E30" s="241">
        <f>Table15[[#This Row],[Present]]*Table15[[#This Row],[Escal.]]+Table15[[#This Row],[Present]]</f>
        <v>0</v>
      </c>
      <c r="F30" s="241" t="e">
        <f>(Table15[[#This Row],[TOTAL amount]]*100)/'1'!$B$26</f>
        <v>#DIV/0!</v>
      </c>
    </row>
    <row r="31" spans="1:6" ht="15.75" thickTop="1">
      <c r="A31" s="176">
        <v>21</v>
      </c>
      <c r="B31" s="542" t="s">
        <v>106</v>
      </c>
      <c r="C31" s="522">
        <f>'6'!C37</f>
        <v>0</v>
      </c>
      <c r="D31" s="695">
        <f>'6'!D37</f>
        <v>0</v>
      </c>
      <c r="E31" s="522">
        <f>Table15[[#This Row],[Present]]*Table15[[#This Row],[Escal.]]+Table15[[#This Row],[Present]]</f>
        <v>0</v>
      </c>
      <c r="F31" s="522" t="e">
        <f>(Table15[[#This Row],[TOTAL amount]]*100)/'1'!$B$26</f>
        <v>#DIV/0!</v>
      </c>
    </row>
    <row r="32" spans="1:6">
      <c r="A32" s="176">
        <v>22</v>
      </c>
      <c r="B32" s="176" t="s">
        <v>107</v>
      </c>
      <c r="C32" s="39">
        <f>'6'!C38</f>
        <v>0</v>
      </c>
      <c r="D32" s="43">
        <f>'6'!D38</f>
        <v>0</v>
      </c>
      <c r="E32" s="39">
        <f>Table15[[#This Row],[Present]]*Table15[[#This Row],[Escal.]]+Table15[[#This Row],[Present]]</f>
        <v>0</v>
      </c>
      <c r="F32" s="39" t="e">
        <f>(Table15[[#This Row],[TOTAL amount]]*100)/'1'!$B$26</f>
        <v>#DIV/0!</v>
      </c>
    </row>
    <row r="33" spans="1:6">
      <c r="A33" s="176">
        <v>23</v>
      </c>
      <c r="B33" s="542" t="s">
        <v>108</v>
      </c>
      <c r="C33" s="522">
        <f>'6'!C39</f>
        <v>0</v>
      </c>
      <c r="D33" s="695">
        <f>'6'!D39</f>
        <v>0</v>
      </c>
      <c r="E33" s="522">
        <f>Table15[[#This Row],[Present]]*Table15[[#This Row],[Escal.]]+Table15[[#This Row],[Present]]</f>
        <v>0</v>
      </c>
      <c r="F33" s="522" t="e">
        <f>(Table15[[#This Row],[TOTAL amount]]*100)/'1'!$B$26</f>
        <v>#DIV/0!</v>
      </c>
    </row>
    <row r="34" spans="1:6">
      <c r="A34" s="176">
        <v>24</v>
      </c>
      <c r="B34" s="176" t="s">
        <v>109</v>
      </c>
      <c r="C34" s="39">
        <f>'6'!C40</f>
        <v>0</v>
      </c>
      <c r="D34" s="43">
        <f>'6'!D40</f>
        <v>0</v>
      </c>
      <c r="E34" s="39">
        <f>Table15[[#This Row],[Present]]*Table15[[#This Row],[Escal.]]+Table15[[#This Row],[Present]]</f>
        <v>0</v>
      </c>
      <c r="F34" s="39" t="e">
        <f>(Table15[[#This Row],[TOTAL amount]]*100)/'1'!$B$26</f>
        <v>#DIV/0!</v>
      </c>
    </row>
    <row r="35" spans="1:6">
      <c r="A35" s="176">
        <v>25</v>
      </c>
      <c r="B35" s="176" t="s">
        <v>110</v>
      </c>
      <c r="C35" s="39">
        <f>'6'!C41</f>
        <v>0</v>
      </c>
      <c r="D35" s="43">
        <f>'6'!D41</f>
        <v>0</v>
      </c>
      <c r="E35" s="39">
        <f>Table15[[#This Row],[Present]]*Table15[[#This Row],[Escal.]]+Table15[[#This Row],[Present]]</f>
        <v>0</v>
      </c>
      <c r="F35" s="39" t="e">
        <f>(Table15[[#This Row],[TOTAL amount]]*100)/'1'!$B$26</f>
        <v>#DIV/0!</v>
      </c>
    </row>
    <row r="36" spans="1:6" s="196" customFormat="1" ht="16.5" thickBot="1">
      <c r="A36" s="238"/>
      <c r="B36" s="238" t="s">
        <v>509</v>
      </c>
      <c r="C36" s="241">
        <f>SUBTOTAL(109,C31:C35)</f>
        <v>0</v>
      </c>
      <c r="D36" s="241">
        <f>SUBTOTAL(101,D30:D35)</f>
        <v>0</v>
      </c>
      <c r="E36" s="241">
        <f>SUBTOTAL(109,E31:E35)</f>
        <v>0</v>
      </c>
      <c r="F36" s="241" t="e">
        <f>SUBTOTAL(109,F31:F35)</f>
        <v>#DIV/0!</v>
      </c>
    </row>
    <row r="37" spans="1:6" s="196" customFormat="1" ht="16.5" thickTop="1">
      <c r="A37" s="264"/>
      <c r="B37" s="264"/>
      <c r="C37" s="265"/>
      <c r="D37" s="266"/>
      <c r="E37" s="265"/>
      <c r="F37" s="265"/>
    </row>
    <row r="38" spans="1:6" s="196" customFormat="1" ht="16.5" thickBot="1">
      <c r="A38" s="238"/>
      <c r="B38" s="238" t="s">
        <v>111</v>
      </c>
      <c r="C38" s="241">
        <f>C28+C30+C36</f>
        <v>0</v>
      </c>
      <c r="D38" s="239" t="e">
        <f>(Table15[[#This Row],[TOTAL amount]]-Table15[[#This Row],[Present]])/Table15[[#This Row],[Present]]</f>
        <v>#DIV/0!</v>
      </c>
      <c r="E38" s="241">
        <f>E28+E30+E36+1</f>
        <v>1</v>
      </c>
      <c r="F38" s="241" t="e">
        <f>F28+F30+F36</f>
        <v>#DIV/0!</v>
      </c>
    </row>
    <row r="39" spans="1:6" s="196" customFormat="1" ht="16.5" thickTop="1">
      <c r="A39" s="264"/>
      <c r="B39" s="264"/>
      <c r="C39" s="265"/>
      <c r="D39" s="266"/>
      <c r="E39" s="265"/>
      <c r="F39" s="265"/>
    </row>
    <row r="40" spans="1:6" s="196" customFormat="1" ht="15.75">
      <c r="B40" s="196" t="s">
        <v>112</v>
      </c>
      <c r="C40" s="45" t="e">
        <f>(C38-C30)/'3'!E7</f>
        <v>#DIV/0!</v>
      </c>
      <c r="D40" s="46" t="e">
        <f>D38</f>
        <v>#DIV/0!</v>
      </c>
      <c r="E40" s="45" t="e">
        <f>Table15[[#This Row],[Present]]*Table15[[#This Row],[Escal.]]+Table15[[#This Row],[Present]]</f>
        <v>#DIV/0!</v>
      </c>
      <c r="F40" s="45"/>
    </row>
    <row r="41" spans="1:6" s="196" customFormat="1" ht="15.75">
      <c r="B41" s="196" t="s">
        <v>113</v>
      </c>
      <c r="C41" s="45"/>
      <c r="D41" s="46"/>
      <c r="E41" s="45"/>
      <c r="F41" s="45">
        <f>'3'!E7</f>
        <v>0</v>
      </c>
    </row>
    <row r="43" spans="1:6">
      <c r="B43" s="252"/>
      <c r="C43" s="253"/>
      <c r="D43" s="272"/>
      <c r="E43" s="253"/>
      <c r="F43" s="253"/>
    </row>
    <row r="44" spans="1:6" ht="15.75">
      <c r="B44" s="196" t="s">
        <v>114</v>
      </c>
    </row>
    <row r="45" spans="1:6">
      <c r="B45" s="176" t="s">
        <v>29</v>
      </c>
      <c r="D45" s="43">
        <f>'6'!D50</f>
        <v>0</v>
      </c>
      <c r="E45" s="39">
        <f>'6'!E50</f>
        <v>0</v>
      </c>
      <c r="F45" s="39" t="e">
        <f>(Table14[[#This Row],[Column4]]*100)/'1'!$B$26</f>
        <v>#DIV/0!</v>
      </c>
    </row>
    <row r="46" spans="1:6">
      <c r="B46" s="176" t="s">
        <v>115</v>
      </c>
      <c r="D46" s="43">
        <f>'6'!D51</f>
        <v>0</v>
      </c>
      <c r="E46" s="39">
        <f>'6'!E51</f>
        <v>0</v>
      </c>
      <c r="F46" s="39" t="e">
        <f>(Table14[[#This Row],[Column4]]*100)/'1'!$B$26</f>
        <v>#DIV/0!</v>
      </c>
    </row>
    <row r="47" spans="1:6" ht="15.75">
      <c r="B47" s="196" t="s">
        <v>116</v>
      </c>
      <c r="C47" s="45"/>
      <c r="D47" s="46"/>
      <c r="E47" s="45">
        <f>E38</f>
        <v>1</v>
      </c>
      <c r="F47" s="45" t="e">
        <f>(Table14[[#This Row],[Column4]]*100)/'1'!$B$26</f>
        <v>#DIV/0!</v>
      </c>
    </row>
    <row r="49" spans="2:6">
      <c r="B49" s="822" t="s">
        <v>668</v>
      </c>
      <c r="C49" s="822"/>
      <c r="D49" s="822"/>
      <c r="E49" s="273" t="e">
        <f>(E38-E30)*100000/'2'!C23</f>
        <v>#DIV/0!</v>
      </c>
      <c r="F49" s="273" t="s">
        <v>117</v>
      </c>
    </row>
  </sheetData>
  <sheetProtection password="DA39" sheet="1" objects="1" scenarios="1" selectLockedCells="1"/>
  <mergeCells count="2">
    <mergeCell ref="B49:D49"/>
    <mergeCell ref="A1:E1"/>
  </mergeCells>
  <printOptions horizontalCentered="1"/>
  <pageMargins left="0.25" right="0.25" top="0.75" bottom="0.75" header="0.3" footer="0.3"/>
  <pageSetup scale="68" orientation="landscape" r:id="rId1"/>
  <headerFooter>
    <oddFooter>&amp;L&amp;F&amp;R&amp;A</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sheetPr>
    <pageSetUpPr fitToPage="1"/>
  </sheetPr>
  <dimension ref="A1:O52"/>
  <sheetViews>
    <sheetView showGridLines="0" workbookViewId="0">
      <selection activeCell="B2" sqref="B2"/>
    </sheetView>
  </sheetViews>
  <sheetFormatPr defaultRowHeight="15"/>
  <cols>
    <col min="1" max="1" width="5.5703125" style="176" bestFit="1" customWidth="1"/>
    <col min="2" max="2" width="42.42578125" style="235" bestFit="1" customWidth="1"/>
    <col min="3" max="3" width="11.5703125" style="39" bestFit="1" customWidth="1"/>
    <col min="4" max="4" width="9.42578125" style="43" bestFit="1" customWidth="1"/>
    <col min="5" max="5" width="12.42578125" style="39" bestFit="1" customWidth="1"/>
    <col min="6" max="6" width="14.42578125" style="39" bestFit="1" customWidth="1"/>
    <col min="7" max="13" width="10.140625" style="39" bestFit="1" customWidth="1"/>
    <col min="14" max="14" width="11.7109375" style="39" bestFit="1" customWidth="1"/>
    <col min="15" max="15" width="11.5703125" style="39" bestFit="1" customWidth="1"/>
    <col min="16" max="16384" width="9.140625" style="176"/>
  </cols>
  <sheetData>
    <row r="1" spans="1:15" ht="16.5" thickBot="1">
      <c r="A1" s="823" t="s">
        <v>118</v>
      </c>
      <c r="B1" s="824"/>
      <c r="C1" s="824"/>
      <c r="D1" s="824"/>
      <c r="E1" s="824"/>
      <c r="F1" s="824"/>
      <c r="G1" s="824"/>
      <c r="H1" s="824"/>
      <c r="I1" s="824"/>
      <c r="J1" s="824"/>
      <c r="K1" s="824"/>
      <c r="L1" s="824"/>
      <c r="M1" s="824"/>
      <c r="N1" s="824"/>
      <c r="O1" s="825"/>
    </row>
    <row r="2" spans="1:15" ht="15.75" thickBot="1"/>
    <row r="3" spans="1:15" ht="15.75">
      <c r="A3" s="826" t="s">
        <v>81</v>
      </c>
      <c r="B3" s="828" t="s">
        <v>0</v>
      </c>
      <c r="C3" s="218" t="s">
        <v>82</v>
      </c>
      <c r="D3" s="830" t="s">
        <v>119</v>
      </c>
      <c r="E3" s="218" t="s">
        <v>120</v>
      </c>
      <c r="F3" s="864">
        <f>'1'!B20</f>
        <v>0</v>
      </c>
      <c r="G3" s="862">
        <f>'1'!B20</f>
        <v>0</v>
      </c>
      <c r="H3" s="863">
        <f>G3</f>
        <v>0</v>
      </c>
      <c r="I3" s="863">
        <f>H3</f>
        <v>0</v>
      </c>
      <c r="J3" s="863">
        <f>I3+1</f>
        <v>1</v>
      </c>
      <c r="K3" s="863">
        <f>J3</f>
        <v>1</v>
      </c>
      <c r="L3" s="863">
        <f>K3</f>
        <v>1</v>
      </c>
      <c r="M3" s="863">
        <f>L3</f>
        <v>1</v>
      </c>
      <c r="N3" s="867">
        <f>M3+1</f>
        <v>2</v>
      </c>
      <c r="O3" s="865" t="s">
        <v>42</v>
      </c>
    </row>
    <row r="4" spans="1:15" ht="16.5" thickBot="1">
      <c r="A4" s="827"/>
      <c r="B4" s="829"/>
      <c r="C4" s="215" t="s">
        <v>121</v>
      </c>
      <c r="D4" s="831"/>
      <c r="E4" s="983" t="s">
        <v>687</v>
      </c>
      <c r="F4" s="859" t="s">
        <v>605</v>
      </c>
      <c r="G4" s="860" t="s">
        <v>606</v>
      </c>
      <c r="H4" s="215" t="s">
        <v>607</v>
      </c>
      <c r="I4" s="215" t="str">
        <f>H4</f>
        <v>Sept</v>
      </c>
      <c r="J4" s="215" t="s">
        <v>605</v>
      </c>
      <c r="K4" s="215" t="s">
        <v>606</v>
      </c>
      <c r="L4" s="215" t="s">
        <v>607</v>
      </c>
      <c r="M4" s="215" t="s">
        <v>608</v>
      </c>
      <c r="N4" s="861" t="s">
        <v>605</v>
      </c>
      <c r="O4" s="866"/>
    </row>
    <row r="5" spans="1:15" ht="15.75">
      <c r="B5" s="243" t="s">
        <v>123</v>
      </c>
    </row>
    <row r="6" spans="1:15" ht="15.75">
      <c r="A6" s="176">
        <v>1</v>
      </c>
      <c r="B6" s="235" t="s">
        <v>124</v>
      </c>
      <c r="C6" s="39">
        <f>'Area&amp;Cost'!B42</f>
        <v>0</v>
      </c>
      <c r="D6" s="43">
        <f>'Area&amp;Cost'!C42</f>
        <v>0</v>
      </c>
      <c r="E6" s="39">
        <f>Table18[[#This Row],[Column3]]*Table18[[#This Row],[Column4]]+Table18[[#This Row],[Column3]]</f>
        <v>0</v>
      </c>
      <c r="F6" s="39">
        <f>'Area&amp;Cost'!E42</f>
        <v>0</v>
      </c>
      <c r="G6" s="39">
        <f>'Area&amp;Cost'!F42</f>
        <v>0</v>
      </c>
      <c r="H6" s="39">
        <f>'Area&amp;Cost'!G42</f>
        <v>0</v>
      </c>
      <c r="I6" s="39">
        <f>'Area&amp;Cost'!H42</f>
        <v>0</v>
      </c>
      <c r="J6" s="39">
        <f>'Area&amp;Cost'!I42</f>
        <v>0</v>
      </c>
      <c r="K6" s="39">
        <f>'Area&amp;Cost'!J42</f>
        <v>0</v>
      </c>
      <c r="L6" s="39">
        <f>'Area&amp;Cost'!K42</f>
        <v>0</v>
      </c>
      <c r="M6" s="39">
        <f>'Area&amp;Cost'!L42</f>
        <v>0</v>
      </c>
      <c r="N6" s="39">
        <f>'Area&amp;Cost'!M42</f>
        <v>0</v>
      </c>
      <c r="O6" s="45">
        <f>SUM(Table18[[#This Row],[Column6]:[Column14]])</f>
        <v>0</v>
      </c>
    </row>
    <row r="7" spans="1:15" ht="15.75">
      <c r="A7" s="176">
        <v>2</v>
      </c>
      <c r="B7" s="235" t="s">
        <v>125</v>
      </c>
      <c r="C7" s="39">
        <f>'Area&amp;Cost'!B43</f>
        <v>0</v>
      </c>
      <c r="D7" s="43">
        <f>D6</f>
        <v>0</v>
      </c>
      <c r="E7" s="39">
        <f>Table18[[#This Row],[Column3]]*Table18[[#This Row],[Column4]]+Table18[[#This Row],[Column3]]</f>
        <v>0</v>
      </c>
      <c r="F7" s="39">
        <f>'Area&amp;Cost'!E43</f>
        <v>0</v>
      </c>
      <c r="G7" s="39">
        <f>'Area&amp;Cost'!F43</f>
        <v>0</v>
      </c>
      <c r="H7" s="39">
        <f>'Area&amp;Cost'!G43</f>
        <v>0</v>
      </c>
      <c r="I7" s="39">
        <f>'Area&amp;Cost'!H43</f>
        <v>0</v>
      </c>
      <c r="J7" s="39">
        <f>'Area&amp;Cost'!I43</f>
        <v>0</v>
      </c>
      <c r="K7" s="39">
        <f>'Area&amp;Cost'!J43</f>
        <v>0</v>
      </c>
      <c r="L7" s="39">
        <f>'Area&amp;Cost'!K43</f>
        <v>0</v>
      </c>
      <c r="M7" s="39">
        <f>'Area&amp;Cost'!L43</f>
        <v>0</v>
      </c>
      <c r="N7" s="39">
        <f>'Area&amp;Cost'!M43</f>
        <v>0</v>
      </c>
      <c r="O7" s="45">
        <f>SUM(Table18[[#This Row],[Column6]:[Column14]])</f>
        <v>0</v>
      </c>
    </row>
    <row r="8" spans="1:15" ht="15.75">
      <c r="A8" s="176">
        <v>3</v>
      </c>
      <c r="B8" s="235" t="s">
        <v>126</v>
      </c>
      <c r="C8" s="39">
        <f>'Area&amp;Cost'!B44</f>
        <v>0</v>
      </c>
      <c r="D8" s="43">
        <f>D7</f>
        <v>0</v>
      </c>
      <c r="E8" s="39">
        <f>Table18[[#This Row],[Column3]]*Table18[[#This Row],[Column4]]+Table18[[#This Row],[Column3]]</f>
        <v>0</v>
      </c>
      <c r="F8" s="39">
        <f>'Area&amp;Cost'!E44</f>
        <v>0</v>
      </c>
      <c r="G8" s="39">
        <f>'Area&amp;Cost'!F44</f>
        <v>0</v>
      </c>
      <c r="H8" s="39">
        <f>'Area&amp;Cost'!G44</f>
        <v>0</v>
      </c>
      <c r="I8" s="39">
        <f>'Area&amp;Cost'!H44</f>
        <v>0</v>
      </c>
      <c r="J8" s="39">
        <f>'Area&amp;Cost'!I44</f>
        <v>0</v>
      </c>
      <c r="K8" s="39">
        <f>'Area&amp;Cost'!J44</f>
        <v>0</v>
      </c>
      <c r="L8" s="39">
        <f>'Area&amp;Cost'!K44</f>
        <v>0</v>
      </c>
      <c r="M8" s="39">
        <f>'Area&amp;Cost'!L44</f>
        <v>0</v>
      </c>
      <c r="N8" s="39">
        <f>'Area&amp;Cost'!M44</f>
        <v>0</v>
      </c>
      <c r="O8" s="45">
        <f>SUM(Table18[[#This Row],[Column6]:[Column14]])</f>
        <v>0</v>
      </c>
    </row>
    <row r="9" spans="1:15" ht="15.75">
      <c r="A9" s="176">
        <v>4</v>
      </c>
      <c r="B9" s="235" t="s">
        <v>127</v>
      </c>
      <c r="C9" s="39">
        <f>'Area&amp;Cost'!B45</f>
        <v>0</v>
      </c>
      <c r="D9" s="43">
        <f>D8</f>
        <v>0</v>
      </c>
      <c r="E9" s="39">
        <f>Table18[[#This Row],[Column3]]*Table18[[#This Row],[Column4]]+Table18[[#This Row],[Column3]]</f>
        <v>0</v>
      </c>
      <c r="F9" s="39">
        <f>'Area&amp;Cost'!E45</f>
        <v>0</v>
      </c>
      <c r="G9" s="39">
        <f>'Area&amp;Cost'!F45</f>
        <v>0</v>
      </c>
      <c r="H9" s="39">
        <f>'Area&amp;Cost'!G45</f>
        <v>0</v>
      </c>
      <c r="I9" s="39">
        <f>'Area&amp;Cost'!H45</f>
        <v>0</v>
      </c>
      <c r="J9" s="39">
        <f>'Area&amp;Cost'!I45</f>
        <v>0</v>
      </c>
      <c r="K9" s="39">
        <f>'Area&amp;Cost'!J45</f>
        <v>0</v>
      </c>
      <c r="L9" s="39">
        <f>'Area&amp;Cost'!K45</f>
        <v>0</v>
      </c>
      <c r="M9" s="39">
        <f>'Area&amp;Cost'!L45</f>
        <v>0</v>
      </c>
      <c r="N9" s="39">
        <f>'Area&amp;Cost'!M45</f>
        <v>0</v>
      </c>
      <c r="O9" s="45">
        <f>SUM(Table18[[#This Row],[Column6]:[Column14]])</f>
        <v>0</v>
      </c>
    </row>
    <row r="10" spans="1:15" s="196" customFormat="1" ht="15.75">
      <c r="A10" s="176">
        <v>5</v>
      </c>
      <c r="B10" s="235" t="s">
        <v>128</v>
      </c>
      <c r="C10" s="39">
        <f>'Area&amp;Cost'!B46</f>
        <v>0</v>
      </c>
      <c r="D10" s="43">
        <f>D9</f>
        <v>0</v>
      </c>
      <c r="E10" s="39">
        <f>Table18[[#This Row],[Column3]]*Table18[[#This Row],[Column4]]+Table18[[#This Row],[Column3]]</f>
        <v>0</v>
      </c>
      <c r="F10" s="39">
        <f>'Area&amp;Cost'!E46</f>
        <v>0</v>
      </c>
      <c r="G10" s="39">
        <f>'Area&amp;Cost'!F46</f>
        <v>0</v>
      </c>
      <c r="H10" s="39">
        <f>'Area&amp;Cost'!G46</f>
        <v>0</v>
      </c>
      <c r="I10" s="39">
        <f>'Area&amp;Cost'!H46</f>
        <v>0</v>
      </c>
      <c r="J10" s="39">
        <f>'Area&amp;Cost'!I46</f>
        <v>0</v>
      </c>
      <c r="K10" s="39">
        <f>'Area&amp;Cost'!J46</f>
        <v>0</v>
      </c>
      <c r="L10" s="39">
        <f>'Area&amp;Cost'!K46</f>
        <v>0</v>
      </c>
      <c r="M10" s="39">
        <f>'Area&amp;Cost'!L46</f>
        <v>0</v>
      </c>
      <c r="N10" s="39">
        <f>'Area&amp;Cost'!M46</f>
        <v>0</v>
      </c>
      <c r="O10" s="45">
        <f>SUM(Table18[[#This Row],[Column6]:[Column14]])</f>
        <v>0</v>
      </c>
    </row>
    <row r="11" spans="1:15" ht="16.5" thickBot="1">
      <c r="A11" s="238"/>
      <c r="B11" s="237" t="s">
        <v>90</v>
      </c>
      <c r="C11" s="241">
        <f>SUBTOTAL(109,C5:C10)</f>
        <v>0</v>
      </c>
      <c r="D11" s="478">
        <f>SUBTOTAL(101,D5:D10)</f>
        <v>0</v>
      </c>
      <c r="E11" s="241">
        <f t="shared" ref="E11:N11" si="0">SUBTOTAL(109,E5:E10)</f>
        <v>0</v>
      </c>
      <c r="F11" s="241">
        <f t="shared" si="0"/>
        <v>0</v>
      </c>
      <c r="G11" s="241">
        <f t="shared" si="0"/>
        <v>0</v>
      </c>
      <c r="H11" s="241">
        <f t="shared" si="0"/>
        <v>0</v>
      </c>
      <c r="I11" s="241">
        <f t="shared" si="0"/>
        <v>0</v>
      </c>
      <c r="J11" s="241">
        <f t="shared" si="0"/>
        <v>0</v>
      </c>
      <c r="K11" s="241">
        <f t="shared" si="0"/>
        <v>0</v>
      </c>
      <c r="L11" s="241">
        <f t="shared" si="0"/>
        <v>0</v>
      </c>
      <c r="M11" s="241">
        <f t="shared" si="0"/>
        <v>0</v>
      </c>
      <c r="N11" s="241">
        <f t="shared" si="0"/>
        <v>0</v>
      </c>
      <c r="O11" s="241">
        <f>SUM(Table18[[#This Row],[Column6]:[Column14]])</f>
        <v>0</v>
      </c>
    </row>
    <row r="12" spans="1:15" ht="15.75" thickTop="1">
      <c r="A12" s="479"/>
      <c r="B12" s="480"/>
      <c r="C12" s="481"/>
      <c r="D12" s="482"/>
      <c r="E12" s="481"/>
      <c r="F12" s="481"/>
      <c r="G12" s="481"/>
      <c r="H12" s="481"/>
      <c r="I12" s="481"/>
      <c r="J12" s="481"/>
      <c r="K12" s="481"/>
      <c r="L12" s="481"/>
      <c r="M12" s="481"/>
      <c r="N12" s="481"/>
      <c r="O12" s="481"/>
    </row>
    <row r="13" spans="1:15" ht="15.75">
      <c r="A13" s="176">
        <v>6</v>
      </c>
      <c r="B13" s="235" t="s">
        <v>146</v>
      </c>
      <c r="C13" s="39">
        <f>'Area&amp;Cost'!B47</f>
        <v>0</v>
      </c>
      <c r="D13" s="43">
        <f>'Area&amp;Cost'!C47</f>
        <v>0</v>
      </c>
      <c r="E13" s="39">
        <f>Table18[[#This Row],[Column3]]*Table18[[#This Row],[Column4]]+Table18[[#This Row],[Column3]]</f>
        <v>0</v>
      </c>
      <c r="F13" s="39">
        <f>'Area&amp;Cost'!E47</f>
        <v>0</v>
      </c>
      <c r="G13" s="39">
        <f>'Area&amp;Cost'!F47</f>
        <v>0</v>
      </c>
      <c r="H13" s="39">
        <f>'Area&amp;Cost'!G47</f>
        <v>0</v>
      </c>
      <c r="I13" s="39">
        <f>'Area&amp;Cost'!H47</f>
        <v>0</v>
      </c>
      <c r="J13" s="39">
        <f>'Area&amp;Cost'!I47</f>
        <v>0</v>
      </c>
      <c r="K13" s="39">
        <f>'Area&amp;Cost'!J47</f>
        <v>0</v>
      </c>
      <c r="L13" s="39">
        <f>'Area&amp;Cost'!K47</f>
        <v>0</v>
      </c>
      <c r="M13" s="39">
        <f>'Area&amp;Cost'!L47</f>
        <v>0</v>
      </c>
      <c r="N13" s="39">
        <f>'Area&amp;Cost'!M47</f>
        <v>0</v>
      </c>
      <c r="O13" s="45">
        <f>SUM(Table18[[#This Row],[Column6]:[Column14]])</f>
        <v>0</v>
      </c>
    </row>
    <row r="14" spans="1:15" ht="15.75">
      <c r="A14" s="176">
        <v>7</v>
      </c>
      <c r="B14" s="235" t="s">
        <v>92</v>
      </c>
      <c r="C14" s="39">
        <f>'Area&amp;Cost'!B48</f>
        <v>0</v>
      </c>
      <c r="D14" s="43">
        <f>D13</f>
        <v>0</v>
      </c>
      <c r="E14" s="39">
        <f>Table18[[#This Row],[Column3]]*Table18[[#This Row],[Column4]]+Table18[[#This Row],[Column3]]</f>
        <v>0</v>
      </c>
      <c r="F14" s="39">
        <f>'Area&amp;Cost'!E48</f>
        <v>0</v>
      </c>
      <c r="G14" s="39">
        <f>'Area&amp;Cost'!F48</f>
        <v>0</v>
      </c>
      <c r="H14" s="39">
        <f>'Area&amp;Cost'!G48</f>
        <v>0</v>
      </c>
      <c r="I14" s="39">
        <f>'Area&amp;Cost'!H48</f>
        <v>0</v>
      </c>
      <c r="J14" s="39">
        <f>'Area&amp;Cost'!I48</f>
        <v>0</v>
      </c>
      <c r="K14" s="39">
        <f>'Area&amp;Cost'!J48</f>
        <v>0</v>
      </c>
      <c r="L14" s="39">
        <f>'Area&amp;Cost'!K48</f>
        <v>0</v>
      </c>
      <c r="M14" s="39">
        <f>'Area&amp;Cost'!L48</f>
        <v>0</v>
      </c>
      <c r="N14" s="39">
        <f>'Area&amp;Cost'!M48</f>
        <v>0</v>
      </c>
      <c r="O14" s="45">
        <f>SUM(Table18[[#This Row],[Column6]:[Column14]])</f>
        <v>0</v>
      </c>
    </row>
    <row r="15" spans="1:15" ht="15.75">
      <c r="A15" s="176">
        <v>8</v>
      </c>
      <c r="B15" s="235" t="s">
        <v>93</v>
      </c>
      <c r="C15" s="39">
        <f>'Area&amp;Cost'!B49</f>
        <v>0</v>
      </c>
      <c r="D15" s="43">
        <f t="shared" ref="D15:D20" si="1">D14</f>
        <v>0</v>
      </c>
      <c r="E15" s="39">
        <f>Table18[[#This Row],[Column3]]*Table18[[#This Row],[Column4]]+Table18[[#This Row],[Column3]]</f>
        <v>0</v>
      </c>
      <c r="F15" s="39">
        <f>'Area&amp;Cost'!E49</f>
        <v>0</v>
      </c>
      <c r="G15" s="39">
        <f>'Area&amp;Cost'!F49</f>
        <v>0</v>
      </c>
      <c r="H15" s="39">
        <f>'Area&amp;Cost'!G49</f>
        <v>0</v>
      </c>
      <c r="I15" s="39">
        <f>'Area&amp;Cost'!H49</f>
        <v>0</v>
      </c>
      <c r="J15" s="39">
        <f>'Area&amp;Cost'!I49</f>
        <v>0</v>
      </c>
      <c r="K15" s="39">
        <f>'Area&amp;Cost'!J49</f>
        <v>0</v>
      </c>
      <c r="L15" s="39">
        <f>'Area&amp;Cost'!K49</f>
        <v>0</v>
      </c>
      <c r="M15" s="39">
        <f>'Area&amp;Cost'!L49</f>
        <v>0</v>
      </c>
      <c r="N15" s="39">
        <f>'Area&amp;Cost'!M49</f>
        <v>0</v>
      </c>
      <c r="O15" s="45">
        <f>SUM(Table18[[#This Row],[Column6]:[Column14]])</f>
        <v>0</v>
      </c>
    </row>
    <row r="16" spans="1:15" ht="15.75">
      <c r="A16" s="176">
        <v>9</v>
      </c>
      <c r="B16" s="235" t="s">
        <v>94</v>
      </c>
      <c r="C16" s="39">
        <f>'Area&amp;Cost'!B50</f>
        <v>0</v>
      </c>
      <c r="D16" s="43">
        <f t="shared" si="1"/>
        <v>0</v>
      </c>
      <c r="E16" s="39">
        <f>Table18[[#This Row],[Column3]]*Table18[[#This Row],[Column4]]+Table18[[#This Row],[Column3]]</f>
        <v>0</v>
      </c>
      <c r="F16" s="39">
        <f>'Area&amp;Cost'!E50</f>
        <v>0</v>
      </c>
      <c r="G16" s="39">
        <f>'Area&amp;Cost'!F50</f>
        <v>0</v>
      </c>
      <c r="H16" s="39">
        <f>'Area&amp;Cost'!G50</f>
        <v>0</v>
      </c>
      <c r="I16" s="39">
        <f>'Area&amp;Cost'!H50</f>
        <v>0</v>
      </c>
      <c r="J16" s="39">
        <f>'Area&amp;Cost'!I50</f>
        <v>0</v>
      </c>
      <c r="K16" s="39">
        <f>'Area&amp;Cost'!J50</f>
        <v>0</v>
      </c>
      <c r="L16" s="39">
        <f>'Area&amp;Cost'!K50</f>
        <v>0</v>
      </c>
      <c r="M16" s="39">
        <f>'Area&amp;Cost'!L50</f>
        <v>0</v>
      </c>
      <c r="N16" s="39">
        <f>'Area&amp;Cost'!M50</f>
        <v>0</v>
      </c>
      <c r="O16" s="45">
        <f>SUM(Table18[[#This Row],[Column6]:[Column14]])</f>
        <v>0</v>
      </c>
    </row>
    <row r="17" spans="1:15" ht="15.75">
      <c r="A17" s="176">
        <v>10</v>
      </c>
      <c r="B17" s="235" t="s">
        <v>95</v>
      </c>
      <c r="C17" s="39">
        <f>'Area&amp;Cost'!B51</f>
        <v>0</v>
      </c>
      <c r="D17" s="43">
        <f t="shared" si="1"/>
        <v>0</v>
      </c>
      <c r="E17" s="39">
        <f>Table18[[#This Row],[Column3]]*Table18[[#This Row],[Column4]]+Table18[[#This Row],[Column3]]</f>
        <v>0</v>
      </c>
      <c r="F17" s="39">
        <f>'Area&amp;Cost'!E51</f>
        <v>0</v>
      </c>
      <c r="G17" s="39">
        <f>'Area&amp;Cost'!F51</f>
        <v>0</v>
      </c>
      <c r="H17" s="39">
        <f>'Area&amp;Cost'!G51</f>
        <v>0</v>
      </c>
      <c r="I17" s="39">
        <f>'Area&amp;Cost'!H51</f>
        <v>0</v>
      </c>
      <c r="J17" s="39">
        <f>'Area&amp;Cost'!I51</f>
        <v>0</v>
      </c>
      <c r="K17" s="39">
        <f>'Area&amp;Cost'!J51</f>
        <v>0</v>
      </c>
      <c r="L17" s="39">
        <f>'Area&amp;Cost'!K51</f>
        <v>0</v>
      </c>
      <c r="M17" s="39">
        <f>'Area&amp;Cost'!L51</f>
        <v>0</v>
      </c>
      <c r="N17" s="39">
        <f>'Area&amp;Cost'!M51</f>
        <v>0</v>
      </c>
      <c r="O17" s="45">
        <f>SUM(Table18[[#This Row],[Column6]:[Column14]])</f>
        <v>0</v>
      </c>
    </row>
    <row r="18" spans="1:15" ht="15.75">
      <c r="A18" s="176">
        <v>11</v>
      </c>
      <c r="B18" s="235" t="s">
        <v>96</v>
      </c>
      <c r="C18" s="39">
        <f>'Area&amp;Cost'!B52</f>
        <v>0</v>
      </c>
      <c r="D18" s="43">
        <f t="shared" si="1"/>
        <v>0</v>
      </c>
      <c r="E18" s="39">
        <f>Table18[[#This Row],[Column3]]*Table18[[#This Row],[Column4]]+Table18[[#This Row],[Column3]]</f>
        <v>0</v>
      </c>
      <c r="F18" s="39">
        <f>'Area&amp;Cost'!E52</f>
        <v>0</v>
      </c>
      <c r="G18" s="39">
        <f>'Area&amp;Cost'!F52</f>
        <v>0</v>
      </c>
      <c r="H18" s="39">
        <f>'Area&amp;Cost'!G52</f>
        <v>0</v>
      </c>
      <c r="I18" s="39">
        <f>'Area&amp;Cost'!H52</f>
        <v>0</v>
      </c>
      <c r="J18" s="39">
        <f>'Area&amp;Cost'!I52</f>
        <v>0</v>
      </c>
      <c r="K18" s="39">
        <f>'Area&amp;Cost'!J52</f>
        <v>0</v>
      </c>
      <c r="L18" s="39">
        <f>'Area&amp;Cost'!K52</f>
        <v>0</v>
      </c>
      <c r="M18" s="39">
        <f>'Area&amp;Cost'!L52</f>
        <v>0</v>
      </c>
      <c r="N18" s="39">
        <f>'Area&amp;Cost'!M52</f>
        <v>0</v>
      </c>
      <c r="O18" s="45">
        <f>SUM(Table18[[#This Row],[Column6]:[Column14]])</f>
        <v>0</v>
      </c>
    </row>
    <row r="19" spans="1:15" ht="15.75">
      <c r="A19" s="176">
        <v>12</v>
      </c>
      <c r="B19" s="235" t="s">
        <v>129</v>
      </c>
      <c r="C19" s="39">
        <f>'Area&amp;Cost'!B53</f>
        <v>0</v>
      </c>
      <c r="D19" s="43">
        <f t="shared" si="1"/>
        <v>0</v>
      </c>
      <c r="E19" s="39">
        <f>Table18[[#This Row],[Column3]]*Table18[[#This Row],[Column4]]+Table18[[#This Row],[Column3]]</f>
        <v>0</v>
      </c>
      <c r="F19" s="39">
        <f>'Area&amp;Cost'!E53</f>
        <v>0</v>
      </c>
      <c r="G19" s="39">
        <f>'Area&amp;Cost'!F53</f>
        <v>0</v>
      </c>
      <c r="H19" s="39">
        <f>'Area&amp;Cost'!G53</f>
        <v>0</v>
      </c>
      <c r="I19" s="39">
        <f>'Area&amp;Cost'!H53</f>
        <v>0</v>
      </c>
      <c r="J19" s="39">
        <f>'Area&amp;Cost'!I53</f>
        <v>0</v>
      </c>
      <c r="K19" s="39">
        <f>'Area&amp;Cost'!J53</f>
        <v>0</v>
      </c>
      <c r="L19" s="39">
        <f>'Area&amp;Cost'!K53</f>
        <v>0</v>
      </c>
      <c r="M19" s="39">
        <f>'Area&amp;Cost'!L53</f>
        <v>0</v>
      </c>
      <c r="N19" s="39">
        <f>'Area&amp;Cost'!M53</f>
        <v>0</v>
      </c>
      <c r="O19" s="45">
        <f>SUM(Table18[[#This Row],[Column6]:[Column14]])</f>
        <v>0</v>
      </c>
    </row>
    <row r="20" spans="1:15" s="196" customFormat="1" ht="15.75">
      <c r="A20" s="176">
        <v>13</v>
      </c>
      <c r="B20" s="235" t="s">
        <v>130</v>
      </c>
      <c r="C20" s="39">
        <f>'Area&amp;Cost'!B54</f>
        <v>0</v>
      </c>
      <c r="D20" s="43">
        <f t="shared" si="1"/>
        <v>0</v>
      </c>
      <c r="E20" s="39">
        <f>Table18[[#This Row],[Column3]]*Table18[[#This Row],[Column4]]+Table18[[#This Row],[Column3]]</f>
        <v>0</v>
      </c>
      <c r="F20" s="39">
        <f>'Area&amp;Cost'!E54</f>
        <v>0</v>
      </c>
      <c r="G20" s="39">
        <f>'Area&amp;Cost'!F54</f>
        <v>0</v>
      </c>
      <c r="H20" s="39">
        <f>'Area&amp;Cost'!G54</f>
        <v>0</v>
      </c>
      <c r="I20" s="39">
        <f>'Area&amp;Cost'!H54</f>
        <v>0</v>
      </c>
      <c r="J20" s="39">
        <f>'Area&amp;Cost'!I54</f>
        <v>0</v>
      </c>
      <c r="K20" s="39">
        <f>'Area&amp;Cost'!J54</f>
        <v>0</v>
      </c>
      <c r="L20" s="39">
        <f>'Area&amp;Cost'!K54</f>
        <v>0</v>
      </c>
      <c r="M20" s="39">
        <f>'Area&amp;Cost'!L54</f>
        <v>0</v>
      </c>
      <c r="N20" s="39">
        <f>'Area&amp;Cost'!M54</f>
        <v>0</v>
      </c>
      <c r="O20" s="45">
        <f>SUM(Table18[[#This Row],[Column6]:[Column14]])</f>
        <v>0</v>
      </c>
    </row>
    <row r="21" spans="1:15" ht="16.5" thickBot="1">
      <c r="A21" s="238"/>
      <c r="B21" s="237" t="s">
        <v>131</v>
      </c>
      <c r="C21" s="241">
        <f>SUBTOTAL(109,C13:C20)</f>
        <v>0</v>
      </c>
      <c r="D21" s="478">
        <f>SUBTOTAL(101,D13:D20)</f>
        <v>0</v>
      </c>
      <c r="E21" s="241">
        <f t="shared" ref="E21:N21" si="2">SUBTOTAL(109,E13:E20)</f>
        <v>0</v>
      </c>
      <c r="F21" s="241">
        <f t="shared" si="2"/>
        <v>0</v>
      </c>
      <c r="G21" s="241">
        <f t="shared" si="2"/>
        <v>0</v>
      </c>
      <c r="H21" s="241">
        <f t="shared" si="2"/>
        <v>0</v>
      </c>
      <c r="I21" s="241">
        <f t="shared" si="2"/>
        <v>0</v>
      </c>
      <c r="J21" s="241">
        <f t="shared" si="2"/>
        <v>0</v>
      </c>
      <c r="K21" s="241">
        <f t="shared" si="2"/>
        <v>0</v>
      </c>
      <c r="L21" s="241">
        <f>SUBTOTAL(109,L13:L20)</f>
        <v>0</v>
      </c>
      <c r="M21" s="241">
        <f t="shared" si="2"/>
        <v>0</v>
      </c>
      <c r="N21" s="241">
        <f t="shared" si="2"/>
        <v>0</v>
      </c>
      <c r="O21" s="241">
        <f>SUM(Table18[[#This Row],[Column6]:[Column14]])</f>
        <v>0</v>
      </c>
    </row>
    <row r="22" spans="1:15" ht="15.75" thickTop="1">
      <c r="A22" s="479"/>
      <c r="B22" s="480"/>
      <c r="C22" s="481"/>
      <c r="D22" s="482"/>
      <c r="E22" s="481"/>
      <c r="F22" s="481"/>
      <c r="G22" s="481"/>
      <c r="H22" s="481"/>
      <c r="I22" s="481"/>
      <c r="J22" s="481"/>
      <c r="K22" s="481"/>
      <c r="L22" s="481"/>
      <c r="M22" s="481"/>
      <c r="N22" s="481"/>
      <c r="O22" s="481"/>
    </row>
    <row r="23" spans="1:15" ht="15.75">
      <c r="B23" s="243" t="s">
        <v>147</v>
      </c>
      <c r="O23" s="45">
        <f>SUM(Table18[[#This Row],[Column6]:[Column14]])</f>
        <v>0</v>
      </c>
    </row>
    <row r="24" spans="1:15" ht="15.75">
      <c r="A24" s="176">
        <v>14</v>
      </c>
      <c r="B24" s="235" t="s">
        <v>99</v>
      </c>
      <c r="C24" s="39">
        <f>'Area&amp;Cost'!B55</f>
        <v>0</v>
      </c>
      <c r="D24" s="43">
        <f>'Area&amp;Cost'!C55</f>
        <v>0</v>
      </c>
      <c r="E24" s="39">
        <f>Table18[[#This Row],[Column3]]*Table18[[#This Row],[Column4]]+Table18[[#This Row],[Column3]]</f>
        <v>0</v>
      </c>
      <c r="F24" s="39">
        <f>'Area&amp;Cost'!E55</f>
        <v>0</v>
      </c>
      <c r="G24" s="39">
        <f>'Area&amp;Cost'!F55</f>
        <v>0</v>
      </c>
      <c r="H24" s="39">
        <f>'Area&amp;Cost'!G55</f>
        <v>0</v>
      </c>
      <c r="I24" s="39">
        <f>'Area&amp;Cost'!H55</f>
        <v>0</v>
      </c>
      <c r="J24" s="39">
        <f>'Area&amp;Cost'!I55</f>
        <v>0</v>
      </c>
      <c r="K24" s="39">
        <f>'Area&amp;Cost'!J55</f>
        <v>0</v>
      </c>
      <c r="L24" s="39">
        <f>'Area&amp;Cost'!K55</f>
        <v>0</v>
      </c>
      <c r="M24" s="39">
        <f>'Area&amp;Cost'!L55</f>
        <v>0</v>
      </c>
      <c r="N24" s="39">
        <f>'Area&amp;Cost'!M55</f>
        <v>0</v>
      </c>
      <c r="O24" s="45">
        <f>SUM(Table18[[#This Row],[Column6]:[Column14]])</f>
        <v>0</v>
      </c>
    </row>
    <row r="25" spans="1:15" ht="15.75">
      <c r="A25" s="176">
        <v>15</v>
      </c>
      <c r="B25" s="235" t="s">
        <v>100</v>
      </c>
      <c r="C25" s="39">
        <f>'Area&amp;Cost'!B56</f>
        <v>0</v>
      </c>
      <c r="D25" s="43">
        <f>D24</f>
        <v>0</v>
      </c>
      <c r="E25" s="39">
        <f>Table18[[#This Row],[Column3]]*Table18[[#This Row],[Column4]]+Table18[[#This Row],[Column3]]</f>
        <v>0</v>
      </c>
      <c r="F25" s="39">
        <f>'Area&amp;Cost'!E56</f>
        <v>0</v>
      </c>
      <c r="G25" s="39">
        <f>'Area&amp;Cost'!F56</f>
        <v>0</v>
      </c>
      <c r="H25" s="39">
        <f>'Area&amp;Cost'!G56</f>
        <v>0</v>
      </c>
      <c r="I25" s="39">
        <f>'Area&amp;Cost'!H56</f>
        <v>0</v>
      </c>
      <c r="J25" s="39">
        <f>'Area&amp;Cost'!I56</f>
        <v>0</v>
      </c>
      <c r="K25" s="39">
        <f>'Area&amp;Cost'!J56</f>
        <v>0</v>
      </c>
      <c r="L25" s="39">
        <f>'Area&amp;Cost'!K56</f>
        <v>0</v>
      </c>
      <c r="M25" s="39">
        <f>'Area&amp;Cost'!L56</f>
        <v>0</v>
      </c>
      <c r="N25" s="39">
        <f>'Area&amp;Cost'!M56</f>
        <v>0</v>
      </c>
      <c r="O25" s="45">
        <f>SUM(Table18[[#This Row],[Column6]:[Column14]])</f>
        <v>0</v>
      </c>
    </row>
    <row r="26" spans="1:15" ht="15.75">
      <c r="A26" s="176">
        <v>16</v>
      </c>
      <c r="B26" s="235" t="s">
        <v>133</v>
      </c>
      <c r="C26" s="39">
        <f>'Area&amp;Cost'!B57</f>
        <v>0</v>
      </c>
      <c r="D26" s="43">
        <f>D25</f>
        <v>0</v>
      </c>
      <c r="E26" s="39">
        <f>Table18[[#This Row],[Column3]]*Table18[[#This Row],[Column4]]+Table18[[#This Row],[Column3]]</f>
        <v>0</v>
      </c>
      <c r="F26" s="39">
        <f>'Area&amp;Cost'!E57</f>
        <v>0</v>
      </c>
      <c r="G26" s="39">
        <f>'Area&amp;Cost'!F57</f>
        <v>0</v>
      </c>
      <c r="H26" s="39">
        <f>'Area&amp;Cost'!G57</f>
        <v>0</v>
      </c>
      <c r="I26" s="39">
        <f>'Area&amp;Cost'!H57</f>
        <v>0</v>
      </c>
      <c r="J26" s="39">
        <f>'Area&amp;Cost'!I57</f>
        <v>0</v>
      </c>
      <c r="K26" s="39">
        <f>'Area&amp;Cost'!J57</f>
        <v>0</v>
      </c>
      <c r="L26" s="39">
        <f>'Area&amp;Cost'!K57</f>
        <v>0</v>
      </c>
      <c r="M26" s="39">
        <f>'Area&amp;Cost'!L57</f>
        <v>0</v>
      </c>
      <c r="N26" s="39">
        <f>'Area&amp;Cost'!M57</f>
        <v>0</v>
      </c>
      <c r="O26" s="45">
        <f>SUM(Table18[[#This Row],[Column6]:[Column14]])</f>
        <v>0</v>
      </c>
    </row>
    <row r="27" spans="1:15" ht="15.75">
      <c r="A27" s="176">
        <v>17</v>
      </c>
      <c r="B27" s="235" t="s">
        <v>134</v>
      </c>
      <c r="C27" s="39">
        <f>'Area&amp;Cost'!B58</f>
        <v>0</v>
      </c>
      <c r="D27" s="43">
        <f>D26</f>
        <v>0</v>
      </c>
      <c r="E27" s="39">
        <f>Table18[[#This Row],[Column3]]*Table18[[#This Row],[Column4]]+Table18[[#This Row],[Column3]]</f>
        <v>0</v>
      </c>
      <c r="F27" s="39">
        <f>'Area&amp;Cost'!E58</f>
        <v>0</v>
      </c>
      <c r="G27" s="39">
        <f>'Area&amp;Cost'!F58</f>
        <v>0</v>
      </c>
      <c r="H27" s="39">
        <f>'Area&amp;Cost'!G58</f>
        <v>0</v>
      </c>
      <c r="I27" s="39">
        <f>'Area&amp;Cost'!H58</f>
        <v>0</v>
      </c>
      <c r="J27" s="39">
        <f>'Area&amp;Cost'!I58</f>
        <v>0</v>
      </c>
      <c r="K27" s="39">
        <f>'Area&amp;Cost'!J58</f>
        <v>0</v>
      </c>
      <c r="L27" s="39">
        <f>'Area&amp;Cost'!K58</f>
        <v>0</v>
      </c>
      <c r="M27" s="39">
        <f>'Area&amp;Cost'!L58</f>
        <v>0</v>
      </c>
      <c r="N27" s="39">
        <f>'Area&amp;Cost'!M58</f>
        <v>0</v>
      </c>
      <c r="O27" s="45">
        <f>SUM(Table18[[#This Row],[Column6]:[Column14]])</f>
        <v>0</v>
      </c>
    </row>
    <row r="28" spans="1:15" ht="15.75">
      <c r="A28" s="176">
        <v>18</v>
      </c>
      <c r="B28" s="235" t="s">
        <v>135</v>
      </c>
      <c r="C28" s="39">
        <f>'Area&amp;Cost'!B59</f>
        <v>0</v>
      </c>
      <c r="D28" s="43">
        <f>D27</f>
        <v>0</v>
      </c>
      <c r="E28" s="39">
        <f>Table18[[#This Row],[Column3]]*Table18[[#This Row],[Column4]]+Table18[[#This Row],[Column3]]</f>
        <v>0</v>
      </c>
      <c r="F28" s="39">
        <f>'Area&amp;Cost'!E59</f>
        <v>0</v>
      </c>
      <c r="G28" s="39">
        <f>'Area&amp;Cost'!F59</f>
        <v>0</v>
      </c>
      <c r="H28" s="39">
        <f>'Area&amp;Cost'!G59</f>
        <v>0</v>
      </c>
      <c r="I28" s="39">
        <f>'Area&amp;Cost'!H59</f>
        <v>0</v>
      </c>
      <c r="J28" s="39">
        <f>'Area&amp;Cost'!I59</f>
        <v>0</v>
      </c>
      <c r="K28" s="39">
        <f>'Area&amp;Cost'!J59</f>
        <v>0</v>
      </c>
      <c r="L28" s="39">
        <f>'Area&amp;Cost'!K59</f>
        <v>0</v>
      </c>
      <c r="M28" s="39">
        <f>'Area&amp;Cost'!L59</f>
        <v>0</v>
      </c>
      <c r="N28" s="39">
        <f>'Area&amp;Cost'!M59</f>
        <v>0</v>
      </c>
      <c r="O28" s="45">
        <f>SUM(Table18[[#This Row],[Column6]:[Column14]])</f>
        <v>0</v>
      </c>
    </row>
    <row r="29" spans="1:15" s="196" customFormat="1" ht="15.75">
      <c r="A29" s="176">
        <v>19</v>
      </c>
      <c r="B29" s="235" t="s">
        <v>104</v>
      </c>
      <c r="C29" s="39">
        <f>'Area&amp;Cost'!B60</f>
        <v>0</v>
      </c>
      <c r="D29" s="43">
        <f>D28</f>
        <v>0</v>
      </c>
      <c r="E29" s="39">
        <f>Table18[[#This Row],[Column3]]*Table18[[#This Row],[Column4]]+Table18[[#This Row],[Column3]]</f>
        <v>0</v>
      </c>
      <c r="F29" s="39">
        <f>'Area&amp;Cost'!E60</f>
        <v>0</v>
      </c>
      <c r="G29" s="39">
        <f>'Area&amp;Cost'!F60</f>
        <v>0</v>
      </c>
      <c r="H29" s="39">
        <f>'Area&amp;Cost'!G60</f>
        <v>0</v>
      </c>
      <c r="I29" s="39">
        <f>'Area&amp;Cost'!H60</f>
        <v>0</v>
      </c>
      <c r="J29" s="39">
        <f>'Area&amp;Cost'!I60</f>
        <v>0</v>
      </c>
      <c r="K29" s="39">
        <f>'Area&amp;Cost'!J60</f>
        <v>0</v>
      </c>
      <c r="L29" s="39">
        <f>'Area&amp;Cost'!K60</f>
        <v>0</v>
      </c>
      <c r="M29" s="39">
        <f>'Area&amp;Cost'!L60</f>
        <v>0</v>
      </c>
      <c r="N29" s="39">
        <f>'Area&amp;Cost'!M60</f>
        <v>0</v>
      </c>
      <c r="O29" s="45">
        <f>SUM(Table18[[#This Row],[Column6]:[Column14]])</f>
        <v>0</v>
      </c>
    </row>
    <row r="30" spans="1:15" s="196" customFormat="1" ht="16.5" thickBot="1">
      <c r="A30" s="238"/>
      <c r="B30" s="237" t="s">
        <v>136</v>
      </c>
      <c r="C30" s="241">
        <f>SUBTOTAL(109,C24:C29)</f>
        <v>0</v>
      </c>
      <c r="D30" s="478">
        <f>SUBTOTAL(101,D24:D29)</f>
        <v>0</v>
      </c>
      <c r="E30" s="241">
        <f t="shared" ref="E30:N30" si="3">SUBTOTAL(109,E24:E29)</f>
        <v>0</v>
      </c>
      <c r="F30" s="241">
        <f t="shared" si="3"/>
        <v>0</v>
      </c>
      <c r="G30" s="241">
        <f t="shared" si="3"/>
        <v>0</v>
      </c>
      <c r="H30" s="241">
        <f t="shared" si="3"/>
        <v>0</v>
      </c>
      <c r="I30" s="241">
        <f t="shared" si="3"/>
        <v>0</v>
      </c>
      <c r="J30" s="241">
        <f t="shared" si="3"/>
        <v>0</v>
      </c>
      <c r="K30" s="241">
        <f t="shared" si="3"/>
        <v>0</v>
      </c>
      <c r="L30" s="241">
        <f t="shared" si="3"/>
        <v>0</v>
      </c>
      <c r="M30" s="241">
        <f t="shared" si="3"/>
        <v>0</v>
      </c>
      <c r="N30" s="241">
        <f t="shared" si="3"/>
        <v>0</v>
      </c>
      <c r="O30" s="241">
        <f>SUM(Table18[[#This Row],[Column6]:[Column14]])</f>
        <v>0</v>
      </c>
    </row>
    <row r="31" spans="1:15" s="196" customFormat="1" ht="16.5" thickTop="1">
      <c r="A31" s="483"/>
      <c r="B31" s="484"/>
      <c r="C31" s="485"/>
      <c r="D31" s="486"/>
      <c r="E31" s="485"/>
      <c r="F31" s="485"/>
      <c r="G31" s="485"/>
      <c r="H31" s="485"/>
      <c r="I31" s="485"/>
      <c r="J31" s="485"/>
      <c r="K31" s="485"/>
      <c r="L31" s="485"/>
      <c r="M31" s="485"/>
      <c r="N31" s="485"/>
      <c r="O31" s="485"/>
    </row>
    <row r="32" spans="1:15" ht="16.5" thickBot="1">
      <c r="A32" s="238"/>
      <c r="B32" s="237" t="s">
        <v>137</v>
      </c>
      <c r="C32" s="241">
        <f>SUBTOTAL(109,C5:C30)</f>
        <v>0</v>
      </c>
      <c r="D32" s="478" t="e">
        <f>(Table18[[#This Row],[Column5]]-Table18[[#This Row],[Column3]])/Table18[[#This Row],[Column3]]</f>
        <v>#DIV/0!</v>
      </c>
      <c r="E32" s="241">
        <f t="shared" ref="E32:N32" si="4">SUBTOTAL(109,E5:E30)</f>
        <v>0</v>
      </c>
      <c r="F32" s="241">
        <f t="shared" si="4"/>
        <v>0</v>
      </c>
      <c r="G32" s="241">
        <f t="shared" si="4"/>
        <v>0</v>
      </c>
      <c r="H32" s="241">
        <f t="shared" si="4"/>
        <v>0</v>
      </c>
      <c r="I32" s="241">
        <f t="shared" si="4"/>
        <v>0</v>
      </c>
      <c r="J32" s="241">
        <f t="shared" si="4"/>
        <v>0</v>
      </c>
      <c r="K32" s="241">
        <f t="shared" si="4"/>
        <v>0</v>
      </c>
      <c r="L32" s="241">
        <f t="shared" si="4"/>
        <v>0</v>
      </c>
      <c r="M32" s="241">
        <f t="shared" si="4"/>
        <v>0</v>
      </c>
      <c r="N32" s="241">
        <f t="shared" si="4"/>
        <v>0</v>
      </c>
      <c r="O32" s="241">
        <f>SUM(Table18[[#This Row],[Column6]:[Column14]])</f>
        <v>0</v>
      </c>
    </row>
    <row r="33" spans="1:15" ht="15.75" thickTop="1">
      <c r="A33" s="479"/>
      <c r="B33" s="480"/>
      <c r="C33" s="481"/>
      <c r="D33" s="482"/>
      <c r="E33" s="481"/>
      <c r="F33" s="481"/>
      <c r="G33" s="481"/>
      <c r="H33" s="481"/>
      <c r="I33" s="481"/>
      <c r="J33" s="481"/>
      <c r="K33" s="481"/>
      <c r="L33" s="481"/>
      <c r="M33" s="481"/>
      <c r="N33" s="481"/>
      <c r="O33" s="481"/>
    </row>
    <row r="34" spans="1:15" s="196" customFormat="1" ht="16.5" thickBot="1">
      <c r="A34" s="238"/>
      <c r="B34" s="237" t="s">
        <v>149</v>
      </c>
      <c r="C34" s="488">
        <f>'1'!C9</f>
        <v>0</v>
      </c>
      <c r="D34" s="239">
        <v>0</v>
      </c>
      <c r="E34" s="241">
        <f>Table18[[#This Row],[Column3]]*Table18[[#This Row],[Column4]]+Table18[[#This Row],[Column3]]</f>
        <v>0</v>
      </c>
      <c r="F34" s="241">
        <f>Table18[[#This Row],[Column5]]</f>
        <v>0</v>
      </c>
      <c r="G34" s="241"/>
      <c r="H34" s="241"/>
      <c r="I34" s="241"/>
      <c r="J34" s="241"/>
      <c r="K34" s="241"/>
      <c r="L34" s="241"/>
      <c r="M34" s="241"/>
      <c r="N34" s="241"/>
      <c r="O34" s="241">
        <f>SUM(Table18[[#This Row],[Column6]:[Column14]])</f>
        <v>0</v>
      </c>
    </row>
    <row r="35" spans="1:15" ht="15.75" thickTop="1">
      <c r="A35" s="483"/>
      <c r="B35" s="484"/>
      <c r="C35" s="487"/>
      <c r="D35" s="486"/>
      <c r="E35" s="485"/>
      <c r="F35" s="485"/>
      <c r="G35" s="485"/>
      <c r="H35" s="485"/>
      <c r="I35" s="485"/>
      <c r="J35" s="485"/>
      <c r="K35" s="485"/>
      <c r="L35" s="485"/>
      <c r="M35" s="485"/>
      <c r="N35" s="485"/>
      <c r="O35" s="485"/>
    </row>
    <row r="36" spans="1:15" ht="15.75">
      <c r="B36" s="196" t="s">
        <v>150</v>
      </c>
      <c r="C36" s="225"/>
      <c r="O36" s="45">
        <f>SUM(Table18[[#This Row],[Column6]:[Column14]])</f>
        <v>0</v>
      </c>
    </row>
    <row r="37" spans="1:15" s="542" customFormat="1" ht="15.75">
      <c r="B37" s="542" t="s">
        <v>106</v>
      </c>
      <c r="C37" s="855">
        <f>Interest!B8</f>
        <v>0</v>
      </c>
      <c r="D37" s="695">
        <f>D34</f>
        <v>0</v>
      </c>
      <c r="E37" s="522">
        <f>Table18[[#This Row],[Column3]]*Table18[[#This Row],[Column4]]+Table18[[#This Row],[Column3]]</f>
        <v>0</v>
      </c>
      <c r="F37" s="522">
        <f>Interest!D8</f>
        <v>0</v>
      </c>
      <c r="G37" s="522">
        <f>Interest!E8</f>
        <v>0</v>
      </c>
      <c r="H37" s="522">
        <f>Interest!F8</f>
        <v>0</v>
      </c>
      <c r="I37" s="522">
        <f>Interest!G8</f>
        <v>0</v>
      </c>
      <c r="J37" s="522">
        <f>Interest!H8</f>
        <v>0</v>
      </c>
      <c r="K37" s="522">
        <f>Interest!I8</f>
        <v>0</v>
      </c>
      <c r="L37" s="522">
        <f>Interest!J8</f>
        <v>0</v>
      </c>
      <c r="M37" s="522">
        <f>Interest!K8</f>
        <v>0</v>
      </c>
      <c r="N37" s="522">
        <f>Interest!L8</f>
        <v>0</v>
      </c>
      <c r="O37" s="856">
        <f>SUM(Table18[[#This Row],[Column6]:[Column14]])</f>
        <v>0</v>
      </c>
    </row>
    <row r="38" spans="1:15" s="542" customFormat="1" ht="15.75">
      <c r="B38" s="542" t="s">
        <v>151</v>
      </c>
      <c r="C38" s="855">
        <f>'7'!D9</f>
        <v>0</v>
      </c>
      <c r="D38" s="695">
        <f>D37</f>
        <v>0</v>
      </c>
      <c r="E38" s="522">
        <f>Table18[[#This Row],[Column3]]*Table18[[#This Row],[Column4]]+Table18[[#This Row],[Column3]]</f>
        <v>0</v>
      </c>
      <c r="F38" s="522">
        <f>'Area&amp;Cost'!E62</f>
        <v>0</v>
      </c>
      <c r="G38" s="522">
        <f>'Area&amp;Cost'!F62</f>
        <v>0</v>
      </c>
      <c r="H38" s="522">
        <f>'Area&amp;Cost'!G62</f>
        <v>0</v>
      </c>
      <c r="I38" s="522">
        <f>'Area&amp;Cost'!H62</f>
        <v>0</v>
      </c>
      <c r="J38" s="522">
        <f>'Area&amp;Cost'!I62</f>
        <v>0</v>
      </c>
      <c r="K38" s="522">
        <f>'Area&amp;Cost'!J62</f>
        <v>0</v>
      </c>
      <c r="L38" s="522">
        <f>'Area&amp;Cost'!K62</f>
        <v>0</v>
      </c>
      <c r="M38" s="522">
        <f>'Area&amp;Cost'!L62</f>
        <v>0</v>
      </c>
      <c r="N38" s="522">
        <f>'Area&amp;Cost'!M62</f>
        <v>0</v>
      </c>
      <c r="O38" s="856">
        <f>SUM(Table18[[#This Row],[Column6]:[Column14]])</f>
        <v>0</v>
      </c>
    </row>
    <row r="39" spans="1:15" s="542" customFormat="1" ht="15.75">
      <c r="B39" s="542" t="s">
        <v>108</v>
      </c>
      <c r="C39" s="855">
        <f>'7'!D16</f>
        <v>0</v>
      </c>
      <c r="D39" s="695">
        <f>D38</f>
        <v>0</v>
      </c>
      <c r="E39" s="522">
        <f>Table18[[#This Row],[Column3]]*Table18[[#This Row],[Column4]]+Table18[[#This Row],[Column3]]</f>
        <v>0</v>
      </c>
      <c r="F39" s="522">
        <f>'Area&amp;Cost'!E63</f>
        <v>0</v>
      </c>
      <c r="G39" s="522">
        <f>'Area&amp;Cost'!F63</f>
        <v>0</v>
      </c>
      <c r="H39" s="522">
        <f>'Area&amp;Cost'!G63</f>
        <v>0</v>
      </c>
      <c r="I39" s="522">
        <f>'Area&amp;Cost'!H63</f>
        <v>0</v>
      </c>
      <c r="J39" s="522">
        <f>'Area&amp;Cost'!I63</f>
        <v>0</v>
      </c>
      <c r="K39" s="522">
        <f>'Area&amp;Cost'!J63</f>
        <v>0</v>
      </c>
      <c r="L39" s="522">
        <f>'Area&amp;Cost'!K63</f>
        <v>0</v>
      </c>
      <c r="M39" s="522">
        <f>'Area&amp;Cost'!L63</f>
        <v>0</v>
      </c>
      <c r="N39" s="522">
        <f>'Area&amp;Cost'!M63</f>
        <v>0</v>
      </c>
      <c r="O39" s="856">
        <f>SUM(Table18[[#This Row],[Column6]:[Column14]])</f>
        <v>0</v>
      </c>
    </row>
    <row r="40" spans="1:15" ht="15.75">
      <c r="B40" s="176" t="s">
        <v>109</v>
      </c>
      <c r="C40" s="225">
        <f>'7'!D24</f>
        <v>0</v>
      </c>
      <c r="D40" s="43">
        <f>D39</f>
        <v>0</v>
      </c>
      <c r="E40" s="39">
        <f>Table18[[#This Row],[Column3]]*Table18[[#This Row],[Column4]]+Table18[[#This Row],[Column3]]</f>
        <v>0</v>
      </c>
      <c r="F40" s="39">
        <f>'Area&amp;Cost'!E64</f>
        <v>0</v>
      </c>
      <c r="G40" s="39">
        <f>'Area&amp;Cost'!F64</f>
        <v>0</v>
      </c>
      <c r="H40" s="39">
        <f>'Area&amp;Cost'!G64</f>
        <v>0</v>
      </c>
      <c r="I40" s="39">
        <f>'Area&amp;Cost'!H64</f>
        <v>0</v>
      </c>
      <c r="J40" s="39">
        <f>'Area&amp;Cost'!I64</f>
        <v>0</v>
      </c>
      <c r="K40" s="39">
        <f>'Area&amp;Cost'!J64</f>
        <v>0</v>
      </c>
      <c r="L40" s="39">
        <f>'Area&amp;Cost'!K64</f>
        <v>0</v>
      </c>
      <c r="M40" s="39">
        <f>'Area&amp;Cost'!L64</f>
        <v>0</v>
      </c>
      <c r="N40" s="39">
        <f>'Area&amp;Cost'!M64</f>
        <v>0</v>
      </c>
      <c r="O40" s="45">
        <f>SUM(Table18[[#This Row],[Column6]:[Column14]])</f>
        <v>0</v>
      </c>
    </row>
    <row r="41" spans="1:15" ht="15.75">
      <c r="B41" s="176" t="s">
        <v>110</v>
      </c>
      <c r="C41" s="225">
        <f>'7'!D33</f>
        <v>0</v>
      </c>
      <c r="D41" s="43">
        <f>D40</f>
        <v>0</v>
      </c>
      <c r="E41" s="39">
        <f>Table18[[#This Row],[Column3]]*Table18[[#This Row],[Column4]]+Table18[[#This Row],[Column3]]</f>
        <v>0</v>
      </c>
      <c r="F41" s="39">
        <f>'Area&amp;Cost'!E65</f>
        <v>0</v>
      </c>
      <c r="G41" s="39">
        <f>'Area&amp;Cost'!F65</f>
        <v>0</v>
      </c>
      <c r="H41" s="39">
        <f>'Area&amp;Cost'!G65</f>
        <v>0</v>
      </c>
      <c r="I41" s="39">
        <f>'Area&amp;Cost'!H65</f>
        <v>0</v>
      </c>
      <c r="J41" s="39">
        <f>'Area&amp;Cost'!I65</f>
        <v>0</v>
      </c>
      <c r="K41" s="39">
        <f>'Area&amp;Cost'!J65</f>
        <v>0</v>
      </c>
      <c r="L41" s="39">
        <f>'Area&amp;Cost'!K65</f>
        <v>0</v>
      </c>
      <c r="M41" s="39">
        <f>'Area&amp;Cost'!L65</f>
        <v>0</v>
      </c>
      <c r="N41" s="39">
        <f>'Area&amp;Cost'!M65</f>
        <v>0</v>
      </c>
      <c r="O41" s="45">
        <f>SUM(Table18[[#This Row],[Column6]:[Column14]])</f>
        <v>0</v>
      </c>
    </row>
    <row r="42" spans="1:15" ht="15.75">
      <c r="B42" s="176" t="s">
        <v>152</v>
      </c>
      <c r="C42" s="225" t="s">
        <v>132</v>
      </c>
      <c r="D42" s="43">
        <v>0</v>
      </c>
      <c r="E42" s="39" t="s">
        <v>132</v>
      </c>
      <c r="O42" s="45">
        <f>SUM(Table18[[#This Row],[Column6]:[Column14]])</f>
        <v>0</v>
      </c>
    </row>
    <row r="43" spans="1:15" s="196" customFormat="1" ht="16.5" thickBot="1">
      <c r="A43" s="238"/>
      <c r="B43" s="238" t="s">
        <v>153</v>
      </c>
      <c r="C43" s="241">
        <f>SUBTOTAL(109,C37:C42)</f>
        <v>0</v>
      </c>
      <c r="D43" s="240">
        <f>SUBTOTAL(101,D37:D42)</f>
        <v>0</v>
      </c>
      <c r="E43" s="241">
        <f t="shared" ref="E43:N43" si="5">SUBTOTAL(109,E37:E42)</f>
        <v>0</v>
      </c>
      <c r="F43" s="241">
        <f t="shared" si="5"/>
        <v>0</v>
      </c>
      <c r="G43" s="241">
        <f t="shared" si="5"/>
        <v>0</v>
      </c>
      <c r="H43" s="241">
        <f t="shared" si="5"/>
        <v>0</v>
      </c>
      <c r="I43" s="241">
        <f t="shared" si="5"/>
        <v>0</v>
      </c>
      <c r="J43" s="241">
        <f t="shared" si="5"/>
        <v>0</v>
      </c>
      <c r="K43" s="241">
        <f t="shared" si="5"/>
        <v>0</v>
      </c>
      <c r="L43" s="241">
        <f t="shared" si="5"/>
        <v>0</v>
      </c>
      <c r="M43" s="241">
        <f t="shared" si="5"/>
        <v>0</v>
      </c>
      <c r="N43" s="241">
        <f t="shared" si="5"/>
        <v>0</v>
      </c>
      <c r="O43" s="241">
        <f>SUM(Table18[[#This Row],[Column6]:[Column14]])</f>
        <v>0</v>
      </c>
    </row>
    <row r="44" spans="1:15" s="196" customFormat="1" ht="16.5" thickTop="1">
      <c r="A44" s="176"/>
      <c r="B44" s="235"/>
      <c r="C44" s="39"/>
      <c r="D44" s="43"/>
      <c r="E44" s="39"/>
      <c r="F44" s="39"/>
      <c r="G44" s="39"/>
      <c r="H44" s="39"/>
      <c r="I44" s="39"/>
      <c r="J44" s="39"/>
      <c r="K44" s="39"/>
      <c r="L44" s="39"/>
      <c r="M44" s="39"/>
      <c r="N44" s="39"/>
      <c r="O44" s="39"/>
    </row>
    <row r="45" spans="1:15" s="196" customFormat="1" ht="16.5" thickBot="1">
      <c r="A45" s="238"/>
      <c r="B45" s="238" t="s">
        <v>154</v>
      </c>
      <c r="C45" s="241">
        <f>C32+C34+C43</f>
        <v>0</v>
      </c>
      <c r="D45" s="240" t="e">
        <f>(Table18[[#This Row],[Column5]]-Table18[[#This Row],[Column3]])/Table18[[#This Row],[Column3]]</f>
        <v>#DIV/0!</v>
      </c>
      <c r="E45" s="241">
        <f>E32+E34+E43+1</f>
        <v>1</v>
      </c>
      <c r="F45" s="241">
        <f t="shared" ref="F45:M45" si="6">F32+F34+F43</f>
        <v>0</v>
      </c>
      <c r="G45" s="241">
        <f t="shared" si="6"/>
        <v>0</v>
      </c>
      <c r="H45" s="241">
        <f t="shared" si="6"/>
        <v>0</v>
      </c>
      <c r="I45" s="241">
        <f t="shared" si="6"/>
        <v>0</v>
      </c>
      <c r="J45" s="241">
        <f t="shared" si="6"/>
        <v>0</v>
      </c>
      <c r="K45" s="241">
        <f t="shared" si="6"/>
        <v>0</v>
      </c>
      <c r="L45" s="241">
        <f t="shared" si="6"/>
        <v>0</v>
      </c>
      <c r="M45" s="241">
        <f t="shared" si="6"/>
        <v>0</v>
      </c>
      <c r="N45" s="241">
        <f>N32+N34+N43+1</f>
        <v>1</v>
      </c>
      <c r="O45" s="241">
        <f>SUM(Table18[[#This Row],[Column6]:[Column14]])</f>
        <v>1</v>
      </c>
    </row>
    <row r="46" spans="1:15" s="196" customFormat="1" ht="17.25" thickTop="1" thickBot="1">
      <c r="A46" s="176"/>
      <c r="B46" s="235"/>
      <c r="C46" s="39"/>
      <c r="D46" s="43"/>
      <c r="E46" s="39"/>
      <c r="F46" s="39"/>
      <c r="G46" s="39"/>
      <c r="H46" s="39"/>
      <c r="I46" s="39"/>
      <c r="J46" s="39"/>
      <c r="K46" s="39"/>
      <c r="L46" s="39"/>
      <c r="M46" s="39"/>
      <c r="N46" s="39"/>
      <c r="O46" s="39"/>
    </row>
    <row r="47" spans="1:15" s="196" customFormat="1" ht="16.5" thickBot="1">
      <c r="A47" s="489"/>
      <c r="B47" s="490" t="s">
        <v>155</v>
      </c>
      <c r="C47" s="491"/>
      <c r="D47" s="492"/>
      <c r="E47" s="493" t="e">
        <f>(E45-E34)/'3'!E7</f>
        <v>#DIV/0!</v>
      </c>
      <c r="F47" s="45"/>
      <c r="G47" s="45"/>
      <c r="H47" s="45"/>
      <c r="I47" s="45"/>
      <c r="J47" s="45"/>
      <c r="K47" s="45"/>
      <c r="L47" s="45"/>
      <c r="M47" s="45"/>
      <c r="N47" s="45"/>
      <c r="O47" s="45"/>
    </row>
    <row r="48" spans="1:15" s="196" customFormat="1" ht="16.5" thickBot="1">
      <c r="A48" s="176"/>
      <c r="B48" s="235"/>
      <c r="C48" s="39"/>
      <c r="D48" s="43"/>
      <c r="E48" s="39"/>
      <c r="F48" s="39"/>
      <c r="G48" s="39"/>
      <c r="H48" s="39"/>
      <c r="I48" s="39"/>
      <c r="J48" s="39"/>
      <c r="K48" s="39"/>
      <c r="L48" s="39"/>
      <c r="M48" s="39"/>
      <c r="N48" s="39"/>
      <c r="O48" s="45"/>
    </row>
    <row r="49" spans="1:15" s="196" customFormat="1" ht="15.75">
      <c r="A49" s="497"/>
      <c r="B49" s="498" t="s">
        <v>114</v>
      </c>
      <c r="C49" s="499"/>
      <c r="D49" s="500"/>
      <c r="E49" s="499"/>
      <c r="F49" s="499"/>
      <c r="G49" s="499"/>
      <c r="H49" s="499"/>
      <c r="I49" s="499"/>
      <c r="J49" s="499"/>
      <c r="K49" s="499"/>
      <c r="L49" s="499"/>
      <c r="M49" s="499"/>
      <c r="N49" s="499"/>
      <c r="O49" s="501"/>
    </row>
    <row r="50" spans="1:15" s="196" customFormat="1" ht="15.75">
      <c r="A50" s="502"/>
      <c r="B50" s="494" t="s">
        <v>29</v>
      </c>
      <c r="C50" s="495"/>
      <c r="D50" s="496">
        <f>'1'!B14</f>
        <v>0</v>
      </c>
      <c r="E50" s="495">
        <f>Table18[[#This Row],[Column4]]*$E$52</f>
        <v>0</v>
      </c>
      <c r="F50" s="495">
        <f>Interest!D11</f>
        <v>0</v>
      </c>
      <c r="G50" s="495">
        <f>Interest!E11</f>
        <v>0</v>
      </c>
      <c r="H50" s="495">
        <f>Interest!F11</f>
        <v>0</v>
      </c>
      <c r="I50" s="495">
        <f>Interest!G11</f>
        <v>0</v>
      </c>
      <c r="J50" s="495">
        <f>Interest!H11</f>
        <v>0</v>
      </c>
      <c r="K50" s="495">
        <f>Interest!I11</f>
        <v>0</v>
      </c>
      <c r="L50" s="495">
        <f>Interest!J11</f>
        <v>0</v>
      </c>
      <c r="M50" s="495">
        <f>Interest!K11</f>
        <v>0</v>
      </c>
      <c r="N50" s="495">
        <f>Interest!L11</f>
        <v>0</v>
      </c>
      <c r="O50" s="503">
        <f>SUM(Table18[[#This Row],[Column6]:[Column14]])</f>
        <v>0</v>
      </c>
    </row>
    <row r="51" spans="1:15" s="196" customFormat="1" ht="15.75">
      <c r="A51" s="502"/>
      <c r="B51" s="494" t="s">
        <v>115</v>
      </c>
      <c r="C51" s="495"/>
      <c r="D51" s="496">
        <f>'1'!B14</f>
        <v>0</v>
      </c>
      <c r="E51" s="495">
        <f>Table18[[#This Row],[Column4]]*$E$52</f>
        <v>0</v>
      </c>
      <c r="F51" s="495">
        <f>Interest!D12</f>
        <v>0</v>
      </c>
      <c r="G51" s="495">
        <f>Interest!E12</f>
        <v>0</v>
      </c>
      <c r="H51" s="495">
        <f>Interest!F12</f>
        <v>0</v>
      </c>
      <c r="I51" s="495">
        <f>Interest!G12</f>
        <v>0</v>
      </c>
      <c r="J51" s="495">
        <f>Interest!H12</f>
        <v>0</v>
      </c>
      <c r="K51" s="495">
        <f>Interest!I12</f>
        <v>0</v>
      </c>
      <c r="L51" s="495">
        <f>Interest!J12</f>
        <v>0</v>
      </c>
      <c r="M51" s="495">
        <f>Interest!K12</f>
        <v>0</v>
      </c>
      <c r="N51" s="495">
        <f>Interest!L12</f>
        <v>0</v>
      </c>
      <c r="O51" s="503">
        <f>SUM(Table18[[#This Row],[Column6]:[Column14]])</f>
        <v>0</v>
      </c>
    </row>
    <row r="52" spans="1:15" s="196" customFormat="1" ht="16.5" thickBot="1">
      <c r="A52" s="504"/>
      <c r="B52" s="505" t="s">
        <v>116</v>
      </c>
      <c r="C52" s="506"/>
      <c r="D52" s="507"/>
      <c r="E52" s="506">
        <f>E45</f>
        <v>1</v>
      </c>
      <c r="F52" s="506">
        <f>SUBTOTAL(109,F50:F51)</f>
        <v>0</v>
      </c>
      <c r="G52" s="506">
        <f t="shared" ref="G52:N52" si="7">SUBTOTAL(109,G50:G51)</f>
        <v>0</v>
      </c>
      <c r="H52" s="506">
        <f t="shared" si="7"/>
        <v>0</v>
      </c>
      <c r="I52" s="506">
        <f t="shared" si="7"/>
        <v>0</v>
      </c>
      <c r="J52" s="506">
        <f t="shared" si="7"/>
        <v>0</v>
      </c>
      <c r="K52" s="506">
        <f t="shared" si="7"/>
        <v>0</v>
      </c>
      <c r="L52" s="506">
        <f t="shared" si="7"/>
        <v>0</v>
      </c>
      <c r="M52" s="506">
        <f t="shared" si="7"/>
        <v>0</v>
      </c>
      <c r="N52" s="506">
        <f t="shared" si="7"/>
        <v>0</v>
      </c>
      <c r="O52" s="508">
        <f>SUM(O50:O51)</f>
        <v>0</v>
      </c>
    </row>
  </sheetData>
  <sheetProtection password="DA39" sheet="1" objects="1" scenarios="1" selectLockedCells="1"/>
  <mergeCells count="5">
    <mergeCell ref="A1:O1"/>
    <mergeCell ref="A3:A4"/>
    <mergeCell ref="B3:B4"/>
    <mergeCell ref="D3:D4"/>
    <mergeCell ref="O3:O4"/>
  </mergeCells>
  <printOptions horizontalCentered="1"/>
  <pageMargins left="0.25" right="0.25" top="0.75" bottom="0.75" header="0.3" footer="0.3"/>
  <pageSetup scale="70" fitToHeight="2" orientation="landscape" r:id="rId1"/>
  <headerFooter>
    <oddFooter>&amp;L&amp;F&amp;C&amp;P of &amp;N&amp;R&amp;A</oddFooter>
  </headerFooter>
  <tableParts count="1">
    <tablePart r:id="rId2"/>
  </tableParts>
</worksheet>
</file>

<file path=xl/worksheets/sheet13.xml><?xml version="1.0" encoding="utf-8"?>
<worksheet xmlns="http://schemas.openxmlformats.org/spreadsheetml/2006/main" xmlns:r="http://schemas.openxmlformats.org/officeDocument/2006/relationships">
  <sheetPr>
    <pageSetUpPr fitToPage="1"/>
  </sheetPr>
  <dimension ref="A1:D35"/>
  <sheetViews>
    <sheetView showGridLines="0" workbookViewId="0">
      <selection activeCell="E9" sqref="E9"/>
    </sheetView>
  </sheetViews>
  <sheetFormatPr defaultRowHeight="15"/>
  <cols>
    <col min="1" max="1" width="38" style="235" bestFit="1" customWidth="1"/>
    <col min="2" max="3" width="13" style="176" customWidth="1"/>
    <col min="4" max="4" width="13" style="39" customWidth="1"/>
    <col min="5" max="16384" width="9.140625" style="176"/>
  </cols>
  <sheetData>
    <row r="1" spans="1:4" ht="16.5" thickBot="1">
      <c r="A1" s="807" t="s">
        <v>156</v>
      </c>
      <c r="B1" s="808"/>
      <c r="C1" s="808"/>
      <c r="D1" s="809"/>
    </row>
    <row r="2" spans="1:4" ht="15.75" thickBot="1"/>
    <row r="3" spans="1:4" ht="15.75">
      <c r="A3" s="509" t="s">
        <v>157</v>
      </c>
      <c r="B3" s="510" t="s">
        <v>158</v>
      </c>
      <c r="C3" s="510" t="s">
        <v>159</v>
      </c>
      <c r="D3" s="511" t="s">
        <v>42</v>
      </c>
    </row>
    <row r="4" spans="1:4" ht="16.5" thickBot="1">
      <c r="A4" s="512" t="s">
        <v>160</v>
      </c>
      <c r="B4" s="513" t="s">
        <v>161</v>
      </c>
      <c r="C4" s="513" t="s">
        <v>158</v>
      </c>
      <c r="D4" s="514" t="s">
        <v>687</v>
      </c>
    </row>
    <row r="5" spans="1:4">
      <c r="A5" s="235" t="s">
        <v>162</v>
      </c>
      <c r="B5" s="193">
        <f>'6'!E30</f>
        <v>0</v>
      </c>
      <c r="C5" s="242">
        <f>'Area&amp;Cost'!B71</f>
        <v>0</v>
      </c>
      <c r="D5" s="39">
        <f>Table19[[#This Row],[Column2]]*Table19[[#This Row],[Column3]]</f>
        <v>0</v>
      </c>
    </row>
    <row r="6" spans="1:4">
      <c r="A6" s="235" t="s">
        <v>163</v>
      </c>
      <c r="B6" s="193">
        <f>'6'!E11+'6'!E21</f>
        <v>0</v>
      </c>
      <c r="C6" s="242">
        <f>'Area&amp;Cost'!B72</f>
        <v>0</v>
      </c>
      <c r="D6" s="39">
        <f>Table19[[#This Row],[Column2]]*Table19[[#This Row],[Column3]]</f>
        <v>0</v>
      </c>
    </row>
    <row r="7" spans="1:4" ht="30">
      <c r="A7" s="235" t="s">
        <v>438</v>
      </c>
      <c r="B7" s="193">
        <f>'6'!E21</f>
        <v>0</v>
      </c>
      <c r="C7" s="242">
        <f>'Area&amp;Cost'!B73</f>
        <v>0</v>
      </c>
      <c r="D7" s="39">
        <f>Table19[[#This Row],[Column2]]*Table19[[#This Row],[Column3]]</f>
        <v>0</v>
      </c>
    </row>
    <row r="8" spans="1:4" ht="15.75" thickBot="1">
      <c r="A8" s="235" t="s">
        <v>164</v>
      </c>
      <c r="B8" s="193">
        <f>'6'!E32</f>
        <v>0</v>
      </c>
      <c r="C8" s="242">
        <f>'Area&amp;Cost'!B74</f>
        <v>0</v>
      </c>
      <c r="D8" s="39">
        <f>Table19[[#This Row],[Column2]]*Table19[[#This Row],[Column3]]</f>
        <v>0</v>
      </c>
    </row>
    <row r="9" spans="1:4" ht="16.5" thickBot="1">
      <c r="A9" s="515" t="s">
        <v>165</v>
      </c>
      <c r="B9" s="490"/>
      <c r="C9" s="490"/>
      <c r="D9" s="493">
        <f>SUBTOTAL(109,D3:D8)</f>
        <v>0</v>
      </c>
    </row>
    <row r="10" spans="1:4" ht="15.75" thickBot="1">
      <c r="A10" s="262"/>
      <c r="B10" s="252"/>
      <c r="C10" s="252"/>
      <c r="D10" s="253"/>
    </row>
    <row r="11" spans="1:4" ht="16.5" thickBot="1">
      <c r="A11" s="516" t="s">
        <v>108</v>
      </c>
      <c r="B11" s="517"/>
      <c r="C11" s="517"/>
      <c r="D11" s="518" t="s">
        <v>687</v>
      </c>
    </row>
    <row r="12" spans="1:4">
      <c r="A12" s="235" t="s">
        <v>166</v>
      </c>
      <c r="D12" s="39">
        <f>'Area&amp;Cost'!B66</f>
        <v>0</v>
      </c>
    </row>
    <row r="13" spans="1:4" s="542" customFormat="1">
      <c r="A13" s="693" t="s">
        <v>167</v>
      </c>
      <c r="B13" s="868"/>
      <c r="D13" s="522">
        <f>'Area&amp;Cost'!D67</f>
        <v>0</v>
      </c>
    </row>
    <row r="14" spans="1:4">
      <c r="A14" s="235" t="s">
        <v>168</v>
      </c>
      <c r="B14" s="263"/>
      <c r="D14" s="39">
        <f>'Area&amp;Cost'!B69</f>
        <v>0</v>
      </c>
    </row>
    <row r="15" spans="1:4" s="196" customFormat="1" ht="16.5" thickBot="1">
      <c r="A15" s="235" t="s">
        <v>169</v>
      </c>
      <c r="B15" s="176"/>
      <c r="C15" s="176"/>
      <c r="D15" s="39">
        <f>'Area&amp;Cost'!B68</f>
        <v>0</v>
      </c>
    </row>
    <row r="16" spans="1:4" s="196" customFormat="1" ht="16.5" thickBot="1">
      <c r="A16" s="515" t="s">
        <v>165</v>
      </c>
      <c r="B16" s="490"/>
      <c r="C16" s="490"/>
      <c r="D16" s="493">
        <f>SUBTOTAL(109,D11:D15)</f>
        <v>0</v>
      </c>
    </row>
    <row r="17" spans="1:4" s="196" customFormat="1" ht="16.5" thickBot="1">
      <c r="A17" s="243"/>
      <c r="D17" s="45"/>
    </row>
    <row r="18" spans="1:4" ht="16.5" thickBot="1">
      <c r="A18" s="516" t="s">
        <v>109</v>
      </c>
      <c r="B18" s="517"/>
      <c r="C18" s="517"/>
      <c r="D18" s="518" t="s">
        <v>687</v>
      </c>
    </row>
    <row r="19" spans="1:4">
      <c r="A19" s="235" t="s">
        <v>170</v>
      </c>
      <c r="B19" s="176" t="s">
        <v>171</v>
      </c>
    </row>
    <row r="20" spans="1:4">
      <c r="A20" s="235" t="s">
        <v>172</v>
      </c>
      <c r="B20" s="176" t="s">
        <v>171</v>
      </c>
    </row>
    <row r="21" spans="1:4">
      <c r="A21" s="235" t="s">
        <v>173</v>
      </c>
      <c r="B21" s="176" t="s">
        <v>171</v>
      </c>
      <c r="D21" s="39">
        <f>'Area&amp;Cost'!B64</f>
        <v>0</v>
      </c>
    </row>
    <row r="22" spans="1:4">
      <c r="A22" s="235" t="s">
        <v>174</v>
      </c>
      <c r="B22" s="176" t="s">
        <v>171</v>
      </c>
    </row>
    <row r="23" spans="1:4" ht="15.75" thickBot="1">
      <c r="A23" s="235" t="s">
        <v>175</v>
      </c>
      <c r="B23" s="176" t="s">
        <v>171</v>
      </c>
    </row>
    <row r="24" spans="1:4" ht="16.5" thickBot="1">
      <c r="A24" s="515" t="s">
        <v>176</v>
      </c>
      <c r="B24" s="490"/>
      <c r="C24" s="490"/>
      <c r="D24" s="493">
        <f>SUBTOTAL(109,D18:D23)</f>
        <v>0</v>
      </c>
    </row>
    <row r="25" spans="1:4" ht="15.75" thickBot="1">
      <c r="A25" s="262"/>
      <c r="B25" s="252"/>
      <c r="C25" s="252"/>
      <c r="D25" s="253"/>
    </row>
    <row r="26" spans="1:4" ht="16.5" thickBot="1">
      <c r="A26" s="516" t="s">
        <v>110</v>
      </c>
      <c r="B26" s="517"/>
      <c r="C26" s="517"/>
      <c r="D26" s="518" t="s">
        <v>667</v>
      </c>
    </row>
    <row r="27" spans="1:4">
      <c r="A27" s="235" t="s">
        <v>177</v>
      </c>
      <c r="B27" s="176" t="s">
        <v>171</v>
      </c>
    </row>
    <row r="28" spans="1:4">
      <c r="A28" s="235" t="s">
        <v>178</v>
      </c>
      <c r="B28" s="176" t="s">
        <v>171</v>
      </c>
    </row>
    <row r="29" spans="1:4">
      <c r="A29" s="235" t="s">
        <v>179</v>
      </c>
      <c r="B29" s="176" t="s">
        <v>171</v>
      </c>
      <c r="D29" s="39">
        <f>'Area&amp;Cost'!B65</f>
        <v>0</v>
      </c>
    </row>
    <row r="30" spans="1:4">
      <c r="A30" s="235" t="s">
        <v>180</v>
      </c>
      <c r="B30" s="176" t="s">
        <v>171</v>
      </c>
    </row>
    <row r="31" spans="1:4">
      <c r="A31" s="235" t="s">
        <v>181</v>
      </c>
      <c r="B31" s="176" t="s">
        <v>171</v>
      </c>
    </row>
    <row r="32" spans="1:4" ht="15.75" thickBot="1">
      <c r="A32" s="235" t="s">
        <v>182</v>
      </c>
      <c r="B32" s="176" t="s">
        <v>171</v>
      </c>
    </row>
    <row r="33" spans="1:4" ht="16.5" thickBot="1">
      <c r="A33" s="515" t="s">
        <v>176</v>
      </c>
      <c r="B33" s="490"/>
      <c r="C33" s="490"/>
      <c r="D33" s="493">
        <f>SUBTOTAL(109,D26:D32)</f>
        <v>0</v>
      </c>
    </row>
    <row r="34" spans="1:4" ht="16.5" thickBot="1">
      <c r="A34" s="243"/>
      <c r="B34" s="196"/>
      <c r="C34" s="196"/>
      <c r="D34" s="45"/>
    </row>
    <row r="35" spans="1:4" ht="16.5" thickBot="1">
      <c r="A35" s="519" t="s">
        <v>183</v>
      </c>
      <c r="B35" s="520"/>
      <c r="C35" s="520"/>
      <c r="D35" s="521">
        <f>D9+D16+D24+D33</f>
        <v>0</v>
      </c>
    </row>
  </sheetData>
  <sheetProtection password="DA39" sheet="1" objects="1" scenarios="1" selectLockedCells="1"/>
  <mergeCells count="1">
    <mergeCell ref="A1:D1"/>
  </mergeCells>
  <printOptions horizontalCentered="1"/>
  <pageMargins left="0.25" right="0.25" top="0.75" bottom="0.75" header="0.3" footer="0.3"/>
  <pageSetup scale="92" orientation="landscape" r:id="rId1"/>
  <headerFooter>
    <oddFooter>&amp;L&amp;F&amp;R&amp;A</oddFooter>
  </headerFooter>
  <tableParts count="4">
    <tablePart r:id="rId2"/>
    <tablePart r:id="rId3"/>
    <tablePart r:id="rId4"/>
    <tablePart r:id="rId5"/>
  </tableParts>
</worksheet>
</file>

<file path=xl/worksheets/sheet14.xml><?xml version="1.0" encoding="utf-8"?>
<worksheet xmlns="http://schemas.openxmlformats.org/spreadsheetml/2006/main" xmlns:r="http://schemas.openxmlformats.org/officeDocument/2006/relationships">
  <sheetPr>
    <pageSetUpPr fitToPage="1"/>
  </sheetPr>
  <dimension ref="A1:I31"/>
  <sheetViews>
    <sheetView showGridLines="0" workbookViewId="0">
      <selection activeCell="K8" sqref="K8"/>
    </sheetView>
  </sheetViews>
  <sheetFormatPr defaultRowHeight="15"/>
  <cols>
    <col min="1" max="1" width="32.7109375" style="176" bestFit="1" customWidth="1"/>
    <col min="2" max="3" width="13" style="176" customWidth="1"/>
    <col min="4" max="4" width="13" style="260" hidden="1" customWidth="1"/>
    <col min="5" max="5" width="13" style="39" customWidth="1"/>
    <col min="6" max="6" width="14.28515625" style="39" customWidth="1"/>
    <col min="7" max="7" width="14.28515625" style="39" hidden="1" customWidth="1"/>
    <col min="8" max="8" width="14.5703125" style="39" customWidth="1"/>
    <col min="9" max="9" width="13" style="39" hidden="1" customWidth="1"/>
    <col min="10" max="16384" width="9.140625" style="176"/>
  </cols>
  <sheetData>
    <row r="1" spans="1:9" ht="16.5" thickBot="1">
      <c r="A1" s="807" t="s">
        <v>184</v>
      </c>
      <c r="B1" s="808"/>
      <c r="C1" s="808"/>
      <c r="D1" s="808"/>
      <c r="E1" s="808"/>
      <c r="F1" s="808"/>
      <c r="G1" s="808"/>
      <c r="H1" s="809"/>
      <c r="I1" s="257"/>
    </row>
    <row r="2" spans="1:9" ht="15.75" thickBot="1"/>
    <row r="3" spans="1:9" ht="15.75">
      <c r="A3" s="523" t="s">
        <v>187</v>
      </c>
      <c r="B3" s="524" t="s">
        <v>185</v>
      </c>
      <c r="C3" s="524" t="s">
        <v>186</v>
      </c>
      <c r="D3" s="525"/>
      <c r="E3" s="526" t="s">
        <v>185</v>
      </c>
      <c r="F3" s="527" t="s">
        <v>669</v>
      </c>
      <c r="G3" s="527"/>
      <c r="H3" s="528"/>
      <c r="I3" s="258"/>
    </row>
    <row r="4" spans="1:9" ht="16.5" thickBot="1">
      <c r="A4" s="529"/>
      <c r="B4" s="530" t="s">
        <v>188</v>
      </c>
      <c r="C4" s="530" t="s">
        <v>189</v>
      </c>
      <c r="D4" s="531"/>
      <c r="E4" s="532" t="s">
        <v>188</v>
      </c>
      <c r="F4" s="532" t="s">
        <v>190</v>
      </c>
      <c r="G4" s="532"/>
      <c r="H4" s="533" t="s">
        <v>191</v>
      </c>
      <c r="I4" s="259"/>
    </row>
    <row r="5" spans="1:9" ht="15.75">
      <c r="A5" s="196" t="s">
        <v>192</v>
      </c>
    </row>
    <row r="6" spans="1:9">
      <c r="A6" s="176">
        <f>Comptn.!A9</f>
        <v>0</v>
      </c>
      <c r="B6" s="176">
        <f>Comptn.!B9</f>
        <v>0</v>
      </c>
      <c r="C6" s="194">
        <f>Comptn.!W9</f>
        <v>0</v>
      </c>
      <c r="D6" s="260">
        <f>Table24[[#This Row],[Column2]]*Table24[[#This Row],[Column3]]</f>
        <v>0</v>
      </c>
      <c r="E6" s="39">
        <f>Table24[[#This Row],[Column2]]*Table24[[#This Row],[Column3]]</f>
        <v>0</v>
      </c>
      <c r="F6" s="39">
        <f>Comptn.!X9</f>
        <v>0</v>
      </c>
      <c r="G6" s="39">
        <f>Table24[[#This Row],[Column5]]*Table24[[#This Row],[Column4]]</f>
        <v>0</v>
      </c>
      <c r="H6" s="39">
        <f>Comptn.!Y9</f>
        <v>0</v>
      </c>
      <c r="I6" s="39">
        <f>Table24[[#This Row],[Column6]]*Table24[[#This Row],[Column4]]</f>
        <v>0</v>
      </c>
    </row>
    <row r="7" spans="1:9">
      <c r="A7" s="176">
        <f>Comptn.!A10</f>
        <v>0</v>
      </c>
      <c r="B7" s="176">
        <f>Comptn.!B10</f>
        <v>0</v>
      </c>
      <c r="C7" s="194">
        <f>Comptn.!W10</f>
        <v>0</v>
      </c>
      <c r="D7" s="625">
        <f>Table24[[#This Row],[Column2]]*Table24[[#This Row],[Column3]]</f>
        <v>0</v>
      </c>
      <c r="E7" s="39">
        <f>Table24[[#This Row],[Column2]]*Table24[[#This Row],[Column3]]</f>
        <v>0</v>
      </c>
      <c r="F7" s="39">
        <f>Comptn.!X10</f>
        <v>0</v>
      </c>
      <c r="G7" s="485">
        <f>Table24[[#This Row],[Column5]]*Table24[[#This Row],[Column4]]</f>
        <v>0</v>
      </c>
      <c r="H7" s="39">
        <f>Comptn.!Y10</f>
        <v>0</v>
      </c>
      <c r="I7" s="485">
        <f>Table24[[#This Row],[Column6]]*Table24[[#This Row],[Column4]]</f>
        <v>0</v>
      </c>
    </row>
    <row r="8" spans="1:9">
      <c r="A8" s="176">
        <f>Comptn.!A11</f>
        <v>0</v>
      </c>
      <c r="B8" s="176">
        <f>Comptn.!B11</f>
        <v>0</v>
      </c>
      <c r="C8" s="194">
        <f>Comptn.!W11</f>
        <v>0</v>
      </c>
      <c r="D8" s="625">
        <f>Table24[[#This Row],[Column2]]*Table24[[#This Row],[Column3]]</f>
        <v>0</v>
      </c>
      <c r="E8" s="39">
        <f>Table24[[#This Row],[Column2]]*Table24[[#This Row],[Column3]]</f>
        <v>0</v>
      </c>
      <c r="F8" s="39">
        <f>Comptn.!X11</f>
        <v>0</v>
      </c>
      <c r="G8" s="485">
        <f>Table24[[#This Row],[Column5]]*Table24[[#This Row],[Column4]]</f>
        <v>0</v>
      </c>
      <c r="H8" s="39">
        <f>Comptn.!Y11</f>
        <v>0</v>
      </c>
      <c r="I8" s="485">
        <f>Table24[[#This Row],[Column6]]*Table24[[#This Row],[Column4]]</f>
        <v>0</v>
      </c>
    </row>
    <row r="9" spans="1:9">
      <c r="A9" s="176">
        <f>Comptn.!A12</f>
        <v>0</v>
      </c>
      <c r="B9" s="176">
        <f>Comptn.!B12</f>
        <v>0</v>
      </c>
      <c r="C9" s="194">
        <f>Comptn.!W12</f>
        <v>0</v>
      </c>
      <c r="D9" s="625">
        <f>Table24[[#This Row],[Column2]]*Table24[[#This Row],[Column3]]</f>
        <v>0</v>
      </c>
      <c r="E9" s="39">
        <f>Table24[[#This Row],[Column2]]*Table24[[#This Row],[Column3]]</f>
        <v>0</v>
      </c>
      <c r="F9" s="39">
        <f>Comptn.!X12</f>
        <v>0</v>
      </c>
      <c r="G9" s="485">
        <f>Table24[[#This Row],[Column5]]*Table24[[#This Row],[Column4]]</f>
        <v>0</v>
      </c>
      <c r="H9" s="39">
        <f>Comptn.!Y12</f>
        <v>0</v>
      </c>
      <c r="I9" s="485">
        <f>Table24[[#This Row],[Column6]]*Table24[[#This Row],[Column4]]</f>
        <v>0</v>
      </c>
    </row>
    <row r="10" spans="1:9">
      <c r="A10" s="176">
        <f>Comptn.!A13</f>
        <v>0</v>
      </c>
      <c r="B10" s="176">
        <f>Comptn.!B13</f>
        <v>0</v>
      </c>
      <c r="C10" s="194">
        <f>Comptn.!W13</f>
        <v>0</v>
      </c>
      <c r="D10" s="625">
        <f>Table24[[#This Row],[Column2]]*Table24[[#This Row],[Column3]]</f>
        <v>0</v>
      </c>
      <c r="E10" s="39">
        <f>Table24[[#This Row],[Column2]]*Table24[[#This Row],[Column3]]</f>
        <v>0</v>
      </c>
      <c r="F10" s="39">
        <f>Comptn.!X13</f>
        <v>0</v>
      </c>
      <c r="G10" s="485">
        <f>Table24[[#This Row],[Column5]]*Table24[[#This Row],[Column4]]</f>
        <v>0</v>
      </c>
      <c r="H10" s="39">
        <f>Comptn.!Y13</f>
        <v>0</v>
      </c>
      <c r="I10" s="485">
        <f>Table24[[#This Row],[Column6]]*Table24[[#This Row],[Column4]]</f>
        <v>0</v>
      </c>
    </row>
    <row r="11" spans="1:9" ht="15.75">
      <c r="A11" s="196" t="s">
        <v>193</v>
      </c>
      <c r="C11" s="194"/>
      <c r="D11" s="260">
        <f>Table24[[#This Row],[Column2]]*Table24[[#This Row],[Column3]]</f>
        <v>0</v>
      </c>
      <c r="I11" s="39">
        <f>Table24[[#This Row],[Column6]]*Table24[[#This Row],[Column4]]</f>
        <v>0</v>
      </c>
    </row>
    <row r="12" spans="1:9">
      <c r="A12" s="176">
        <f>Comptn.!A16</f>
        <v>0</v>
      </c>
      <c r="B12" s="176">
        <f>Comptn.!B16</f>
        <v>0</v>
      </c>
      <c r="C12" s="194">
        <f>Comptn.!W16</f>
        <v>0</v>
      </c>
      <c r="D12" s="260">
        <f>Table24[[#This Row],[Column2]]*Table24[[#This Row],[Column3]]</f>
        <v>0</v>
      </c>
      <c r="E12" s="39">
        <f>Table24[[#This Row],[Column2]]*Table24[[#This Row],[Column3]]</f>
        <v>0</v>
      </c>
      <c r="F12" s="39">
        <f>Comptn.!X16</f>
        <v>0</v>
      </c>
      <c r="G12" s="39">
        <f>Table24[[#This Row],[Column5]]*Table24[[#This Row],[Column4]]</f>
        <v>0</v>
      </c>
      <c r="H12" s="39">
        <f>Comptn.!Y16</f>
        <v>0</v>
      </c>
      <c r="I12" s="39">
        <f>Table24[[#This Row],[Column6]]*Table24[[#This Row],[Column4]]</f>
        <v>0</v>
      </c>
    </row>
    <row r="13" spans="1:9">
      <c r="A13" s="176">
        <f>Comptn.!A17</f>
        <v>0</v>
      </c>
      <c r="B13" s="176">
        <f>Comptn.!B17</f>
        <v>0</v>
      </c>
      <c r="C13" s="194">
        <f>Comptn.!W17</f>
        <v>0</v>
      </c>
      <c r="D13" s="260">
        <f>Table24[[#This Row],[Column2]]*Table24[[#This Row],[Column3]]</f>
        <v>0</v>
      </c>
      <c r="E13" s="39">
        <f>Table24[[#This Row],[Column2]]*Table24[[#This Row],[Column3]]</f>
        <v>0</v>
      </c>
      <c r="F13" s="39">
        <f>Comptn.!X17</f>
        <v>0</v>
      </c>
      <c r="G13" s="39">
        <f>Table24[[#This Row],[Column5]]*Table24[[#This Row],[Column4]]</f>
        <v>0</v>
      </c>
      <c r="H13" s="39">
        <f>Comptn.!Y17</f>
        <v>0</v>
      </c>
      <c r="I13" s="39">
        <f>Table24[[#This Row],[Column6]]*Table24[[#This Row],[Column4]]</f>
        <v>0</v>
      </c>
    </row>
    <row r="14" spans="1:9">
      <c r="A14" s="176">
        <f>Comptn.!A18</f>
        <v>0</v>
      </c>
      <c r="B14" s="176">
        <f>Comptn.!B18</f>
        <v>0</v>
      </c>
      <c r="C14" s="194">
        <f>Comptn.!W18</f>
        <v>0</v>
      </c>
      <c r="D14" s="260">
        <f>Table24[[#This Row],[Column2]]*Table24[[#This Row],[Column3]]</f>
        <v>0</v>
      </c>
      <c r="E14" s="39">
        <f>Table24[[#This Row],[Column2]]*Table24[[#This Row],[Column3]]</f>
        <v>0</v>
      </c>
      <c r="F14" s="39">
        <f>Comptn.!X18</f>
        <v>0</v>
      </c>
      <c r="G14" s="39">
        <f>Table24[[#This Row],[Column5]]*Table24[[#This Row],[Column4]]</f>
        <v>0</v>
      </c>
      <c r="H14" s="39">
        <f>Comptn.!Y18</f>
        <v>0</v>
      </c>
      <c r="I14" s="39">
        <f>Table24[[#This Row],[Column6]]*Table24[[#This Row],[Column4]]</f>
        <v>0</v>
      </c>
    </row>
    <row r="15" spans="1:9">
      <c r="A15" s="176">
        <f>Comptn.!A19</f>
        <v>0</v>
      </c>
      <c r="B15" s="176">
        <f>Comptn.!B19</f>
        <v>0</v>
      </c>
      <c r="C15" s="194">
        <f>Comptn.!W19</f>
        <v>0</v>
      </c>
      <c r="D15" s="260">
        <f>Table24[[#This Row],[Column2]]*Table24[[#This Row],[Column3]]</f>
        <v>0</v>
      </c>
      <c r="E15" s="39">
        <f>Table24[[#This Row],[Column2]]*Table24[[#This Row],[Column3]]</f>
        <v>0</v>
      </c>
      <c r="F15" s="39">
        <f>Comptn.!X19</f>
        <v>0</v>
      </c>
      <c r="G15" s="39">
        <f>Table24[[#This Row],[Column5]]*Table24[[#This Row],[Column4]]</f>
        <v>0</v>
      </c>
      <c r="H15" s="39">
        <f>Comptn.!Y19</f>
        <v>0</v>
      </c>
      <c r="I15" s="39">
        <f>Table24[[#This Row],[Column6]]*Table24[[#This Row],[Column4]]</f>
        <v>0</v>
      </c>
    </row>
    <row r="16" spans="1:9">
      <c r="A16" s="176">
        <f>Comptn.!A20</f>
        <v>0</v>
      </c>
      <c r="B16" s="176">
        <f>Comptn.!B20</f>
        <v>0</v>
      </c>
      <c r="C16" s="194">
        <f>Comptn.!W20</f>
        <v>0</v>
      </c>
      <c r="D16" s="260">
        <f>Table24[[#This Row],[Column2]]*Table24[[#This Row],[Column3]]</f>
        <v>0</v>
      </c>
      <c r="E16" s="39">
        <f>Table24[[#This Row],[Column2]]*Table24[[#This Row],[Column3]]</f>
        <v>0</v>
      </c>
      <c r="F16" s="39">
        <f>Comptn.!X20</f>
        <v>0</v>
      </c>
      <c r="G16" s="39">
        <f>Table24[[#This Row],[Column5]]*Table24[[#This Row],[Column4]]</f>
        <v>0</v>
      </c>
      <c r="H16" s="39">
        <f>Comptn.!Y20</f>
        <v>0</v>
      </c>
      <c r="I16" s="39">
        <f>Table24[[#This Row],[Column6]]*Table24[[#This Row],[Column4]]</f>
        <v>0</v>
      </c>
    </row>
    <row r="17" spans="1:9">
      <c r="A17" s="176">
        <f>Comptn.!A21</f>
        <v>0</v>
      </c>
      <c r="B17" s="176">
        <f>Comptn.!B21</f>
        <v>0</v>
      </c>
      <c r="C17" s="194">
        <f>Comptn.!W21</f>
        <v>0</v>
      </c>
      <c r="D17" s="260">
        <f>Table24[[#This Row],[Column2]]*Table24[[#This Row],[Column3]]</f>
        <v>0</v>
      </c>
      <c r="E17" s="39">
        <f>Table24[[#This Row],[Column2]]*Table24[[#This Row],[Column3]]</f>
        <v>0</v>
      </c>
      <c r="F17" s="39">
        <f>Comptn.!X21</f>
        <v>0</v>
      </c>
      <c r="G17" s="39">
        <f>Table24[[#This Row],[Column5]]*Table24[[#This Row],[Column4]]</f>
        <v>0</v>
      </c>
      <c r="H17" s="39">
        <f>Comptn.!Y21</f>
        <v>0</v>
      </c>
      <c r="I17" s="39">
        <f>Table24[[#This Row],[Column6]]*Table24[[#This Row],[Column4]]</f>
        <v>0</v>
      </c>
    </row>
    <row r="18" spans="1:9">
      <c r="A18" s="176">
        <f>Comptn.!A22</f>
        <v>0</v>
      </c>
      <c r="B18" s="176">
        <f>Comptn.!B22</f>
        <v>0</v>
      </c>
      <c r="C18" s="194">
        <f>Comptn.!W22</f>
        <v>0</v>
      </c>
      <c r="D18" s="260">
        <f>Table24[[#This Row],[Column2]]*Table24[[#This Row],[Column3]]</f>
        <v>0</v>
      </c>
      <c r="E18" s="39">
        <f>Table24[[#This Row],[Column2]]*Table24[[#This Row],[Column3]]</f>
        <v>0</v>
      </c>
      <c r="F18" s="39">
        <f>Comptn.!X22</f>
        <v>0</v>
      </c>
      <c r="G18" s="39">
        <f>Table24[[#This Row],[Column5]]*Table24[[#This Row],[Column4]]</f>
        <v>0</v>
      </c>
      <c r="H18" s="39">
        <f>Comptn.!Y22</f>
        <v>0</v>
      </c>
      <c r="I18" s="485">
        <f>Table24[[#This Row],[Column6]]*Table24[[#This Row],[Column4]]</f>
        <v>0</v>
      </c>
    </row>
    <row r="19" spans="1:9">
      <c r="A19" s="176">
        <f>Comptn.!A23</f>
        <v>0</v>
      </c>
      <c r="B19" s="176">
        <f>Comptn.!B23</f>
        <v>0</v>
      </c>
      <c r="C19" s="194">
        <f>Comptn.!W23</f>
        <v>0</v>
      </c>
      <c r="D19" s="260">
        <f>Table24[[#This Row],[Column2]]*Table24[[#This Row],[Column3]]</f>
        <v>0</v>
      </c>
      <c r="E19" s="39">
        <f>Table24[[#This Row],[Column2]]*Table24[[#This Row],[Column3]]</f>
        <v>0</v>
      </c>
      <c r="F19" s="39">
        <f>Comptn.!X23</f>
        <v>0</v>
      </c>
      <c r="G19" s="39">
        <f>Table24[[#This Row],[Column5]]*Table24[[#This Row],[Column4]]</f>
        <v>0</v>
      </c>
      <c r="H19" s="39">
        <f>Comptn.!Y23</f>
        <v>0</v>
      </c>
      <c r="I19" s="485">
        <f>Table24[[#This Row],[Column6]]*Table24[[#This Row],[Column4]]</f>
        <v>0</v>
      </c>
    </row>
    <row r="20" spans="1:9">
      <c r="A20" s="176">
        <f>Comptn.!A24</f>
        <v>0</v>
      </c>
      <c r="B20" s="176">
        <f>Comptn.!B24</f>
        <v>0</v>
      </c>
      <c r="C20" s="194">
        <f>Comptn.!W24</f>
        <v>0</v>
      </c>
      <c r="D20" s="260">
        <f>Table24[[#This Row],[Column2]]*Table24[[#This Row],[Column3]]</f>
        <v>0</v>
      </c>
      <c r="E20" s="39">
        <f>Table24[[#This Row],[Column2]]*Table24[[#This Row],[Column3]]</f>
        <v>0</v>
      </c>
      <c r="F20" s="39">
        <f>Comptn.!X24</f>
        <v>0</v>
      </c>
      <c r="G20" s="39">
        <f>Table24[[#This Row],[Column5]]*Table24[[#This Row],[Column4]]</f>
        <v>0</v>
      </c>
      <c r="H20" s="39">
        <f>Comptn.!Y24</f>
        <v>0</v>
      </c>
      <c r="I20" s="485">
        <f>Table24[[#This Row],[Column6]]*Table24[[#This Row],[Column4]]</f>
        <v>0</v>
      </c>
    </row>
    <row r="21" spans="1:9">
      <c r="A21" s="176">
        <f>Comptn.!A25</f>
        <v>0</v>
      </c>
      <c r="B21" s="176">
        <f>Comptn.!B25</f>
        <v>0</v>
      </c>
      <c r="C21" s="194">
        <f>Comptn.!W25</f>
        <v>0</v>
      </c>
      <c r="D21" s="260">
        <f>Table24[[#This Row],[Column2]]*Table24[[#This Row],[Column3]]</f>
        <v>0</v>
      </c>
      <c r="E21" s="39">
        <f>Table24[[#This Row],[Column2]]*Table24[[#This Row],[Column3]]</f>
        <v>0</v>
      </c>
      <c r="F21" s="39">
        <f>Comptn.!X25</f>
        <v>0</v>
      </c>
      <c r="G21" s="39">
        <f>Table24[[#This Row],[Column5]]*Table24[[#This Row],[Column4]]</f>
        <v>0</v>
      </c>
      <c r="H21" s="39">
        <f>Comptn.!Y25</f>
        <v>0</v>
      </c>
      <c r="I21" s="485">
        <f>Table24[[#This Row],[Column6]]*Table24[[#This Row],[Column4]]</f>
        <v>0</v>
      </c>
    </row>
    <row r="22" spans="1:9" s="196" customFormat="1" ht="16.5" thickBot="1">
      <c r="A22" s="238" t="s">
        <v>194</v>
      </c>
      <c r="B22" s="238">
        <f>SUBTOTAL(109,B3:B17)</f>
        <v>0</v>
      </c>
      <c r="C22" s="240" t="e">
        <f>Table24[[#This Row],[Column9]]/Table24[[#This Row],[Column2]]</f>
        <v>#DIV/0!</v>
      </c>
      <c r="D22" s="534">
        <f>SUBTOTAL(109,D3:D17)</f>
        <v>0</v>
      </c>
      <c r="E22" s="241">
        <f>SUBTOTAL(109,E3:E17)</f>
        <v>0</v>
      </c>
      <c r="F22" s="241" t="e">
        <f>Table24[[#This Row],[Column7]]/Table24[[#This Row],[Column4]]</f>
        <v>#DIV/0!</v>
      </c>
      <c r="G22" s="241">
        <f>SUBTOTAL(109,G3:G17)</f>
        <v>0</v>
      </c>
      <c r="H22" s="241" t="e">
        <f>Table24[[#This Row],[Column8]]/Table24[[#This Row],[Column4]]</f>
        <v>#DIV/0!</v>
      </c>
      <c r="I22" s="39">
        <f>SUBTOTAL(109,I5:I17)</f>
        <v>0</v>
      </c>
    </row>
    <row r="23" spans="1:9" ht="15.75" thickTop="1">
      <c r="A23" s="832"/>
      <c r="B23" s="832"/>
      <c r="C23" s="832"/>
      <c r="D23" s="832"/>
      <c r="E23" s="832"/>
      <c r="F23" s="832"/>
      <c r="G23" s="832"/>
      <c r="H23" s="832"/>
      <c r="I23" s="261"/>
    </row>
    <row r="31" spans="1:9">
      <c r="E31" s="522"/>
    </row>
  </sheetData>
  <sheetProtection password="DA39" sheet="1" objects="1" scenarios="1" selectLockedCells="1"/>
  <mergeCells count="2">
    <mergeCell ref="A1:H1"/>
    <mergeCell ref="A23:H23"/>
  </mergeCells>
  <printOptions horizontalCentered="1"/>
  <pageMargins left="0.25" right="0.25" top="0.75" bottom="0.75" header="0.3" footer="0.3"/>
  <pageSetup orientation="landscape" r:id="rId1"/>
  <headerFooter>
    <oddFooter>&amp;L&amp;F&amp;R&amp;A</oddFooter>
  </headerFooter>
  <tableParts count="1">
    <tablePart r:id="rId2"/>
  </tableParts>
</worksheet>
</file>

<file path=xl/worksheets/sheet15.xml><?xml version="1.0" encoding="utf-8"?>
<worksheet xmlns="http://schemas.openxmlformats.org/spreadsheetml/2006/main" xmlns:r="http://schemas.openxmlformats.org/officeDocument/2006/relationships">
  <sheetPr>
    <pageSetUpPr fitToPage="1"/>
  </sheetPr>
  <dimension ref="A1:F28"/>
  <sheetViews>
    <sheetView showGridLines="0" workbookViewId="0">
      <selection activeCell="G5" sqref="G5"/>
    </sheetView>
  </sheetViews>
  <sheetFormatPr defaultRowHeight="15"/>
  <cols>
    <col min="1" max="1" width="35.140625" style="176" bestFit="1" customWidth="1"/>
    <col min="2" max="3" width="13" style="39" customWidth="1"/>
    <col min="4" max="4" width="13" style="39" hidden="1" customWidth="1"/>
    <col min="5" max="5" width="13" style="236" customWidth="1"/>
    <col min="6" max="6" width="9.7109375" style="39" hidden="1" customWidth="1"/>
    <col min="7" max="16384" width="9.140625" style="176"/>
  </cols>
  <sheetData>
    <row r="1" spans="1:6" ht="16.5" thickBot="1">
      <c r="A1" s="807" t="s">
        <v>196</v>
      </c>
      <c r="B1" s="808"/>
      <c r="C1" s="808"/>
      <c r="D1" s="808"/>
      <c r="E1" s="809"/>
    </row>
    <row r="2" spans="1:6" ht="15.75" thickBot="1">
      <c r="A2" s="252"/>
      <c r="B2" s="253"/>
      <c r="C2" s="253"/>
      <c r="D2" s="253"/>
      <c r="E2" s="254"/>
    </row>
    <row r="3" spans="1:6" ht="15.75">
      <c r="A3" s="535" t="s">
        <v>187</v>
      </c>
      <c r="B3" s="526" t="s">
        <v>185</v>
      </c>
      <c r="C3" s="984">
        <f>'1'!B20</f>
        <v>0</v>
      </c>
      <c r="D3" s="526"/>
      <c r="E3" s="536"/>
    </row>
    <row r="4" spans="1:6" ht="15.75">
      <c r="A4" s="537"/>
      <c r="B4" s="538" t="s">
        <v>188</v>
      </c>
      <c r="C4" s="538" t="s">
        <v>198</v>
      </c>
      <c r="D4" s="538"/>
      <c r="E4" s="539" t="s">
        <v>199</v>
      </c>
    </row>
    <row r="5" spans="1:6" ht="16.5" thickBot="1">
      <c r="A5" s="540"/>
      <c r="B5" s="532"/>
      <c r="C5" s="532" t="s">
        <v>670</v>
      </c>
      <c r="D5" s="532"/>
      <c r="E5" s="541" t="s">
        <v>189</v>
      </c>
    </row>
    <row r="6" spans="1:6" ht="15.75">
      <c r="A6" s="196" t="s">
        <v>192</v>
      </c>
    </row>
    <row r="7" spans="1:6">
      <c r="A7" s="176">
        <f>Comptn.!A9</f>
        <v>0</v>
      </c>
      <c r="B7" s="39">
        <f>'8'!E6</f>
        <v>0</v>
      </c>
      <c r="C7" s="39">
        <f>Comptn.!E9</f>
        <v>0</v>
      </c>
      <c r="D7" s="39">
        <f>Table25[[#This Row],[Column3]]*Table25[[#This Row],[Column2]]</f>
        <v>0</v>
      </c>
      <c r="E7" s="236">
        <f>Comptn.!C9</f>
        <v>0</v>
      </c>
      <c r="F7" s="39">
        <f>Table25[[#This Row],[Column4]]*Table25[[#This Row],[Column2]]</f>
        <v>0</v>
      </c>
    </row>
    <row r="8" spans="1:6" ht="15.75">
      <c r="A8" s="176">
        <f>Comptn.!A10</f>
        <v>0</v>
      </c>
      <c r="B8" s="39">
        <f>'8'!E7</f>
        <v>0</v>
      </c>
      <c r="C8" s="39">
        <f>Comptn.!E10</f>
        <v>0</v>
      </c>
      <c r="D8" s="485">
        <f>Table25[[#This Row],[Column3]]*Table25[[#This Row],[Column2]]</f>
        <v>0</v>
      </c>
      <c r="E8" s="236">
        <f>Comptn.!C10</f>
        <v>0</v>
      </c>
      <c r="F8" s="613">
        <f>Table25[[#This Row],[Column4]]*Table25[[#This Row],[Column2]]</f>
        <v>0</v>
      </c>
    </row>
    <row r="9" spans="1:6" ht="15.75">
      <c r="A9" s="176">
        <f>Comptn.!A11</f>
        <v>0</v>
      </c>
      <c r="B9" s="39">
        <f>'8'!E8</f>
        <v>0</v>
      </c>
      <c r="C9" s="39">
        <f>Comptn.!E11</f>
        <v>0</v>
      </c>
      <c r="D9" s="485">
        <f>Table25[[#This Row],[Column3]]*Table25[[#This Row],[Column2]]</f>
        <v>0</v>
      </c>
      <c r="E9" s="236">
        <f>Comptn.!C11</f>
        <v>0</v>
      </c>
      <c r="F9" s="613">
        <f>Table25[[#This Row],[Column4]]*Table25[[#This Row],[Column2]]</f>
        <v>0</v>
      </c>
    </row>
    <row r="10" spans="1:6" ht="15.75">
      <c r="A10" s="176">
        <f>Comptn.!A12</f>
        <v>0</v>
      </c>
      <c r="B10" s="39">
        <f>'8'!E9</f>
        <v>0</v>
      </c>
      <c r="C10" s="39">
        <f>Comptn.!E12</f>
        <v>0</v>
      </c>
      <c r="D10" s="485">
        <f>Table25[[#This Row],[Column3]]*Table25[[#This Row],[Column2]]</f>
        <v>0</v>
      </c>
      <c r="E10" s="236">
        <f>Comptn.!C12</f>
        <v>0</v>
      </c>
      <c r="F10" s="613">
        <f>Table25[[#This Row],[Column4]]*Table25[[#This Row],[Column2]]</f>
        <v>0</v>
      </c>
    </row>
    <row r="11" spans="1:6" ht="15.75">
      <c r="A11" s="176">
        <f>Comptn.!A13</f>
        <v>0</v>
      </c>
      <c r="B11" s="39">
        <f>'8'!E10</f>
        <v>0</v>
      </c>
      <c r="C11" s="39">
        <f>Comptn.!E13</f>
        <v>0</v>
      </c>
      <c r="D11" s="485">
        <f>Table25[[#This Row],[Column3]]*Table25[[#This Row],[Column2]]</f>
        <v>0</v>
      </c>
      <c r="E11" s="236">
        <f>Comptn.!C13</f>
        <v>0</v>
      </c>
      <c r="F11" s="613">
        <f>Table25[[#This Row],[Column4]]*Table25[[#This Row],[Column2]]</f>
        <v>0</v>
      </c>
    </row>
    <row r="12" spans="1:6" s="196" customFormat="1" ht="16.5" thickBot="1">
      <c r="A12" s="238" t="s">
        <v>513</v>
      </c>
      <c r="B12" s="241">
        <f>SUBTOTAL(109,B3:B7)</f>
        <v>0</v>
      </c>
      <c r="C12" s="241" t="e">
        <f>Table25[[#This Row],[Column5]]/Table25[[#This Row],[Column2]]</f>
        <v>#DIV/0!</v>
      </c>
      <c r="D12" s="241">
        <f>SUBTOTAL(109,D3:D7)</f>
        <v>0</v>
      </c>
      <c r="E12" s="240" t="e">
        <f>Table25[[#This Row],[Column6]]/Table25[[#This Row],[Column2]]</f>
        <v>#DIV/0!</v>
      </c>
      <c r="F12" s="45">
        <f>SUBTOTAL(109,F3:F7)</f>
        <v>0</v>
      </c>
    </row>
    <row r="13" spans="1:6" s="196" customFormat="1" ht="16.5" thickTop="1">
      <c r="A13" s="176"/>
      <c r="B13" s="39"/>
      <c r="C13" s="39"/>
      <c r="D13" s="39">
        <f>Table25[[#This Row],[Column3]]*Table25[[#This Row],[Column2]]</f>
        <v>0</v>
      </c>
      <c r="E13" s="236"/>
      <c r="F13" s="45"/>
    </row>
    <row r="14" spans="1:6" s="196" customFormat="1" ht="15.75">
      <c r="A14" s="196" t="s">
        <v>200</v>
      </c>
      <c r="B14" s="45"/>
      <c r="C14" s="45"/>
      <c r="D14" s="45">
        <f>Table25[[#This Row],[Column3]]*Table25[[#This Row],[Column2]]</f>
        <v>0</v>
      </c>
      <c r="E14" s="199"/>
      <c r="F14" s="45"/>
    </row>
    <row r="15" spans="1:6">
      <c r="A15" s="176">
        <f>Comptn.!A16</f>
        <v>0</v>
      </c>
      <c r="B15" s="39">
        <f>'8'!E12</f>
        <v>0</v>
      </c>
      <c r="C15" s="39">
        <f>Comptn.!E16</f>
        <v>0</v>
      </c>
      <c r="D15" s="39">
        <f>Table25[[#This Row],[Column3]]*Table25[[#This Row],[Column2]]</f>
        <v>0</v>
      </c>
      <c r="E15" s="236">
        <f>Comptn.!C16</f>
        <v>0</v>
      </c>
      <c r="F15" s="39">
        <f>Table25[[#This Row],[Column4]]*Table25[[#This Row],[Column2]]</f>
        <v>0</v>
      </c>
    </row>
    <row r="16" spans="1:6">
      <c r="A16" s="176">
        <f>Comptn.!A17</f>
        <v>0</v>
      </c>
      <c r="B16" s="39">
        <f>'8'!E13</f>
        <v>0</v>
      </c>
      <c r="C16" s="39">
        <f>Comptn.!E17</f>
        <v>0</v>
      </c>
      <c r="D16" s="39">
        <f>Table25[[#This Row],[Column3]]*Table25[[#This Row],[Column2]]</f>
        <v>0</v>
      </c>
      <c r="E16" s="236">
        <f>Comptn.!C17</f>
        <v>0</v>
      </c>
      <c r="F16" s="39">
        <f>Table25[[#This Row],[Column4]]*Table25[[#This Row],[Column2]]</f>
        <v>0</v>
      </c>
    </row>
    <row r="17" spans="1:6">
      <c r="A17" s="176">
        <f>Comptn.!A18</f>
        <v>0</v>
      </c>
      <c r="B17" s="39">
        <f>'8'!E14</f>
        <v>0</v>
      </c>
      <c r="C17" s="39">
        <f>Comptn.!E18</f>
        <v>0</v>
      </c>
      <c r="D17" s="39">
        <f>Table25[[#This Row],[Column3]]*Table25[[#This Row],[Column2]]</f>
        <v>0</v>
      </c>
      <c r="E17" s="236">
        <f>Comptn.!C18</f>
        <v>0</v>
      </c>
      <c r="F17" s="39">
        <f>Table25[[#This Row],[Column4]]*Table25[[#This Row],[Column2]]</f>
        <v>0</v>
      </c>
    </row>
    <row r="18" spans="1:6">
      <c r="A18" s="176">
        <f>Comptn.!A19</f>
        <v>0</v>
      </c>
      <c r="B18" s="39">
        <f>'8'!E15</f>
        <v>0</v>
      </c>
      <c r="C18" s="39">
        <f>Comptn.!E19</f>
        <v>0</v>
      </c>
      <c r="D18" s="39">
        <f>Table25[[#This Row],[Column3]]*Table25[[#This Row],[Column2]]</f>
        <v>0</v>
      </c>
      <c r="E18" s="236">
        <f>Comptn.!C19</f>
        <v>0</v>
      </c>
      <c r="F18" s="39">
        <f>Table25[[#This Row],[Column4]]*Table25[[#This Row],[Column2]]</f>
        <v>0</v>
      </c>
    </row>
    <row r="19" spans="1:6">
      <c r="A19" s="176">
        <f>Comptn.!A20</f>
        <v>0</v>
      </c>
      <c r="B19" s="39">
        <f>'8'!E16</f>
        <v>0</v>
      </c>
      <c r="C19" s="39">
        <f>Comptn.!E20</f>
        <v>0</v>
      </c>
      <c r="D19" s="39">
        <f>Table25[[#This Row],[Column3]]*Table25[[#This Row],[Column2]]</f>
        <v>0</v>
      </c>
      <c r="E19" s="236">
        <f>Comptn.!C20</f>
        <v>0</v>
      </c>
      <c r="F19" s="39">
        <f>Table25[[#This Row],[Column4]]*Table25[[#This Row],[Column2]]</f>
        <v>0</v>
      </c>
    </row>
    <row r="20" spans="1:6">
      <c r="A20" s="176">
        <f>Comptn.!A21</f>
        <v>0</v>
      </c>
      <c r="B20" s="39">
        <f>'8'!E17</f>
        <v>0</v>
      </c>
      <c r="C20" s="39">
        <f>Comptn.!E21</f>
        <v>0</v>
      </c>
      <c r="D20" s="39">
        <f>Table25[[#This Row],[Column3]]*Table25[[#This Row],[Column2]]</f>
        <v>0</v>
      </c>
      <c r="E20" s="236">
        <f>Comptn.!C21</f>
        <v>0</v>
      </c>
      <c r="F20" s="39">
        <f>Table25[[#This Row],[Column4]]*Table25[[#This Row],[Column2]]</f>
        <v>0</v>
      </c>
    </row>
    <row r="21" spans="1:6" ht="15.75">
      <c r="A21" s="176">
        <f>Comptn.!A22</f>
        <v>0</v>
      </c>
      <c r="B21" s="39">
        <f>'8'!E18</f>
        <v>0</v>
      </c>
      <c r="C21" s="39">
        <f>Comptn.!E22</f>
        <v>0</v>
      </c>
      <c r="D21" s="485">
        <f>Table25[[#This Row],[Column3]]*Table25[[#This Row],[Column2]]</f>
        <v>0</v>
      </c>
      <c r="E21" s="236">
        <f>Comptn.!C22</f>
        <v>0</v>
      </c>
      <c r="F21" s="613">
        <f>Table25[[#This Row],[Column4]]*Table25[[#This Row],[Column2]]</f>
        <v>0</v>
      </c>
    </row>
    <row r="22" spans="1:6" ht="15.75">
      <c r="A22" s="176">
        <f>Comptn.!A23</f>
        <v>0</v>
      </c>
      <c r="B22" s="39">
        <f>'8'!E19</f>
        <v>0</v>
      </c>
      <c r="C22" s="39">
        <f>Comptn.!E23</f>
        <v>0</v>
      </c>
      <c r="D22" s="485">
        <f>Table25[[#This Row],[Column3]]*Table25[[#This Row],[Column2]]</f>
        <v>0</v>
      </c>
      <c r="E22" s="236">
        <f>Comptn.!C23</f>
        <v>0</v>
      </c>
      <c r="F22" s="613">
        <f>Table25[[#This Row],[Column4]]*Table25[[#This Row],[Column2]]</f>
        <v>0</v>
      </c>
    </row>
    <row r="23" spans="1:6" ht="15.75">
      <c r="A23" s="176">
        <f>Comptn.!A24</f>
        <v>0</v>
      </c>
      <c r="B23" s="39">
        <f>'8'!E20</f>
        <v>0</v>
      </c>
      <c r="C23" s="39">
        <f>Comptn.!E24</f>
        <v>0</v>
      </c>
      <c r="D23" s="485">
        <f>Table25[[#This Row],[Column3]]*Table25[[#This Row],[Column2]]</f>
        <v>0</v>
      </c>
      <c r="E23" s="236">
        <f>Comptn.!C24</f>
        <v>0</v>
      </c>
      <c r="F23" s="613">
        <f>Table25[[#This Row],[Column4]]*Table25[[#This Row],[Column2]]</f>
        <v>0</v>
      </c>
    </row>
    <row r="24" spans="1:6" ht="15.75">
      <c r="A24" s="176">
        <f>Comptn.!A25</f>
        <v>0</v>
      </c>
      <c r="B24" s="39">
        <f>'8'!E21</f>
        <v>0</v>
      </c>
      <c r="C24" s="39">
        <f>Comptn.!E25</f>
        <v>0</v>
      </c>
      <c r="D24" s="485">
        <f>Table25[[#This Row],[Column3]]*Table25[[#This Row],[Column2]]</f>
        <v>0</v>
      </c>
      <c r="E24" s="236">
        <f>Comptn.!C25</f>
        <v>0</v>
      </c>
      <c r="F24" s="613">
        <f>Table25[[#This Row],[Column4]]*Table25[[#This Row],[Column2]]</f>
        <v>0</v>
      </c>
    </row>
    <row r="25" spans="1:6" s="196" customFormat="1" ht="16.5" thickBot="1">
      <c r="A25" s="238" t="s">
        <v>513</v>
      </c>
      <c r="B25" s="241">
        <f>SUBTOTAL(109,B15:B20)</f>
        <v>0</v>
      </c>
      <c r="C25" s="241" t="e">
        <f>Table25[[#This Row],[Column5]]/Table25[[#This Row],[Column2]]</f>
        <v>#DIV/0!</v>
      </c>
      <c r="D25" s="241">
        <f>SUBTOTAL(109,D15:D20)</f>
        <v>0</v>
      </c>
      <c r="E25" s="240" t="e">
        <f>Table25[[#This Row],[Column6]]/Table25[[#This Row],[Column2]]</f>
        <v>#DIV/0!</v>
      </c>
      <c r="F25" s="45">
        <f>SUBTOTAL(109,F15:F20)</f>
        <v>0</v>
      </c>
    </row>
    <row r="26" spans="1:6" s="196" customFormat="1" ht="16.5" thickTop="1">
      <c r="A26" s="176"/>
      <c r="B26" s="39"/>
      <c r="C26" s="39"/>
      <c r="D26" s="39">
        <f>Table25[[#This Row],[Column3]]*Table25[[#This Row],[Column2]]</f>
        <v>0</v>
      </c>
      <c r="E26" s="236"/>
      <c r="F26" s="45">
        <f>Table25[[#This Row],[Column4]]*Table25[[#This Row],[Column2]]</f>
        <v>0</v>
      </c>
    </row>
    <row r="27" spans="1:6" s="196" customFormat="1" ht="16.5" thickBot="1">
      <c r="A27" s="238" t="s">
        <v>194</v>
      </c>
      <c r="B27" s="241">
        <f>SUBTOTAL(109,B3:B26)</f>
        <v>0</v>
      </c>
      <c r="C27" s="241" t="e">
        <f>Table25[[#This Row],[Column5]]/Table25[[#This Row],[Column2]]</f>
        <v>#DIV/0!</v>
      </c>
      <c r="D27" s="241">
        <f>SUBTOTAL(109,D3:D26)</f>
        <v>0</v>
      </c>
      <c r="E27" s="240" t="e">
        <f>Table25[[#This Row],[Column6]]/Table25[[#This Row],[Column2]]</f>
        <v>#DIV/0!</v>
      </c>
      <c r="F27" s="45">
        <f>SUBTOTAL(109,F3:F26)</f>
        <v>0</v>
      </c>
    </row>
    <row r="28" spans="1:6" ht="15.75" thickTop="1">
      <c r="A28" s="217"/>
    </row>
  </sheetData>
  <sheetProtection password="DA39" sheet="1" objects="1" scenarios="1" selectLockedCells="1"/>
  <mergeCells count="1">
    <mergeCell ref="A1:E1"/>
  </mergeCells>
  <printOptions horizontalCentered="1"/>
  <pageMargins left="0.25" right="0.25" top="0.75" bottom="0.75" header="0.3" footer="0.3"/>
  <pageSetup orientation="landscape" r:id="rId1"/>
  <headerFooter>
    <oddFooter>&amp;L&amp;F&amp;R&amp;A</oddFooter>
  </headerFooter>
  <tableParts count="1">
    <tablePart r:id="rId2"/>
  </tableParts>
</worksheet>
</file>

<file path=xl/worksheets/sheet16.xml><?xml version="1.0" encoding="utf-8"?>
<worksheet xmlns="http://schemas.openxmlformats.org/spreadsheetml/2006/main" xmlns:r="http://schemas.openxmlformats.org/officeDocument/2006/relationships">
  <sheetPr>
    <pageSetUpPr fitToPage="1"/>
  </sheetPr>
  <dimension ref="A1:J34"/>
  <sheetViews>
    <sheetView showGridLines="0" workbookViewId="0">
      <selection activeCell="J8" sqref="J8"/>
    </sheetView>
  </sheetViews>
  <sheetFormatPr defaultRowHeight="15"/>
  <cols>
    <col min="1" max="1" width="35.140625" style="176" bestFit="1" customWidth="1"/>
    <col min="2" max="7" width="13" style="39" customWidth="1"/>
    <col min="8" max="8" width="13" style="236" customWidth="1"/>
    <col min="9" max="9" width="9.7109375" style="39" hidden="1" customWidth="1"/>
    <col min="10" max="16384" width="9.140625" style="176"/>
  </cols>
  <sheetData>
    <row r="1" spans="1:9" ht="16.5" thickBot="1">
      <c r="A1" s="807" t="s">
        <v>589</v>
      </c>
      <c r="B1" s="808"/>
      <c r="C1" s="808"/>
      <c r="D1" s="808"/>
      <c r="E1" s="808"/>
      <c r="F1" s="808"/>
      <c r="G1" s="808"/>
      <c r="H1" s="809"/>
    </row>
    <row r="2" spans="1:9" ht="15.75" thickBot="1">
      <c r="A2" s="252"/>
      <c r="B2" s="253"/>
      <c r="C2" s="253"/>
      <c r="D2" s="253"/>
      <c r="E2" s="253"/>
      <c r="F2" s="253"/>
      <c r="G2" s="253"/>
      <c r="H2" s="254"/>
    </row>
    <row r="3" spans="1:9" ht="15.75">
      <c r="A3" s="631" t="s">
        <v>590</v>
      </c>
      <c r="B3" s="632">
        <f>Comptn.!B7</f>
        <v>0</v>
      </c>
      <c r="C3" s="632">
        <f>Comptn.!G7</f>
        <v>0</v>
      </c>
      <c r="D3" s="632">
        <f>Comptn.!L7</f>
        <v>0</v>
      </c>
      <c r="E3" s="632">
        <f>Comptn.!Q7</f>
        <v>0</v>
      </c>
      <c r="F3" s="632">
        <f>Comptn.!V7</f>
        <v>0</v>
      </c>
      <c r="G3" s="633" t="s">
        <v>610</v>
      </c>
      <c r="H3" s="536" t="s">
        <v>674</v>
      </c>
    </row>
    <row r="4" spans="1:9" ht="15.75">
      <c r="A4" s="537"/>
      <c r="B4" s="629"/>
      <c r="C4" s="629"/>
      <c r="D4" s="629"/>
      <c r="E4" s="629"/>
      <c r="F4" s="629"/>
      <c r="G4" s="538"/>
      <c r="H4" s="539"/>
    </row>
    <row r="5" spans="1:9" ht="16.5" thickBot="1">
      <c r="A5" s="628" t="s">
        <v>187</v>
      </c>
      <c r="B5" s="630"/>
      <c r="C5" s="630"/>
      <c r="D5" s="630"/>
      <c r="E5" s="630"/>
      <c r="F5" s="630"/>
      <c r="G5" s="532" t="s">
        <v>577</v>
      </c>
      <c r="H5" s="541" t="s">
        <v>673</v>
      </c>
    </row>
    <row r="6" spans="1:9" s="196" customFormat="1" ht="15.75">
      <c r="A6" s="616" t="s">
        <v>591</v>
      </c>
      <c r="B6" s="538" t="e">
        <f t="shared" ref="B6:F6" si="0">B30*B32</f>
        <v>#DIV/0!</v>
      </c>
      <c r="C6" s="538" t="e">
        <f t="shared" si="0"/>
        <v>#DIV/0!</v>
      </c>
      <c r="D6" s="538" t="e">
        <f t="shared" si="0"/>
        <v>#DIV/0!</v>
      </c>
      <c r="E6" s="538" t="e">
        <f t="shared" si="0"/>
        <v>#DIV/0!</v>
      </c>
      <c r="F6" s="538" t="e">
        <f t="shared" si="0"/>
        <v>#DIV/0!</v>
      </c>
      <c r="G6" s="538" t="e">
        <f>Table2527[[#This Row],[Column2]]-Table2527[[#This Row],[Column10]]</f>
        <v>#DIV/0!</v>
      </c>
      <c r="H6" s="612" t="e">
        <f>SUBTOTAL(101,B7:E7)</f>
        <v>#DIV/0!</v>
      </c>
      <c r="I6" s="45" t="e">
        <f>Table2527[[#This Row],[Column4]]*Table2527[[#This Row],[Column2]]</f>
        <v>#DIV/0!</v>
      </c>
    </row>
    <row r="7" spans="1:9" ht="15.75">
      <c r="A7" s="636" t="s">
        <v>592</v>
      </c>
      <c r="B7" s="718" t="e">
        <f>(B6-C6)/C6</f>
        <v>#DIV/0!</v>
      </c>
      <c r="C7" s="718" t="e">
        <f>(C6-D6)/D6</f>
        <v>#DIV/0!</v>
      </c>
      <c r="D7" s="718" t="e">
        <f>(D6-E6)/E6</f>
        <v>#DIV/0!</v>
      </c>
      <c r="E7" s="718" t="e">
        <f>(E6-#REF!)/#REF!</f>
        <v>#DIV/0!</v>
      </c>
      <c r="F7" s="635"/>
      <c r="G7" s="612"/>
      <c r="H7" s="635"/>
      <c r="I7" s="45" t="e">
        <f>Table2527[[#This Row],[Column4]]*Table2527[[#This Row],[Column2]]</f>
        <v>#DIV/0!</v>
      </c>
    </row>
    <row r="8" spans="1:9" ht="15.75">
      <c r="A8" s="634"/>
      <c r="B8" s="614"/>
      <c r="C8" s="614"/>
      <c r="D8" s="614"/>
      <c r="E8" s="614"/>
      <c r="F8" s="614"/>
      <c r="G8" s="538"/>
      <c r="H8" s="635"/>
      <c r="I8" s="45">
        <f>Table2527[[#This Row],[Column4]]*Table2527[[#This Row],[Column2]]</f>
        <v>0</v>
      </c>
    </row>
    <row r="9" spans="1:9" ht="15.75">
      <c r="A9" s="196" t="s">
        <v>192</v>
      </c>
    </row>
    <row r="10" spans="1:9">
      <c r="A10" s="176">
        <f>Comptn.!A9</f>
        <v>0</v>
      </c>
      <c r="B10" s="39">
        <f>Comptn.!B9</f>
        <v>0</v>
      </c>
      <c r="C10" s="39">
        <f>Comptn.!G9</f>
        <v>0</v>
      </c>
      <c r="D10" s="39">
        <f>Comptn.!L9</f>
        <v>0</v>
      </c>
      <c r="E10" s="39">
        <f>Comptn.!Q9</f>
        <v>0</v>
      </c>
      <c r="F10" s="39">
        <f>Comptn.!V9</f>
        <v>0</v>
      </c>
      <c r="I10" s="39">
        <f>Table2527[[#This Row],[Column4]]*Table2527[[#This Row],[Column2]]</f>
        <v>0</v>
      </c>
    </row>
    <row r="11" spans="1:9" ht="15.75">
      <c r="A11" s="176">
        <f>Comptn.!A10</f>
        <v>0</v>
      </c>
      <c r="B11" s="39">
        <f>Comptn.!B10</f>
        <v>0</v>
      </c>
      <c r="C11" s="39">
        <f>Comptn.!G10</f>
        <v>0</v>
      </c>
      <c r="D11" s="39">
        <f>Comptn.!L10</f>
        <v>0</v>
      </c>
      <c r="E11" s="39">
        <f>Comptn.!Q10</f>
        <v>0</v>
      </c>
      <c r="F11" s="39">
        <f>Comptn.!V10</f>
        <v>0</v>
      </c>
      <c r="G11" s="485"/>
      <c r="I11" s="613">
        <f>Table2527[[#This Row],[Column4]]*Table2527[[#This Row],[Column2]]</f>
        <v>0</v>
      </c>
    </row>
    <row r="12" spans="1:9" ht="15.75">
      <c r="A12" s="176">
        <f>Comptn.!A11</f>
        <v>0</v>
      </c>
      <c r="B12" s="39">
        <f>Comptn.!B11</f>
        <v>0</v>
      </c>
      <c r="C12" s="39">
        <f>Comptn.!G11</f>
        <v>0</v>
      </c>
      <c r="D12" s="39">
        <f>Comptn.!L11</f>
        <v>0</v>
      </c>
      <c r="E12" s="39">
        <f>Comptn.!Q11</f>
        <v>0</v>
      </c>
      <c r="F12" s="39">
        <f>Comptn.!V11</f>
        <v>0</v>
      </c>
      <c r="G12" s="485"/>
      <c r="I12" s="613">
        <f>Table2527[[#This Row],[Column4]]*Table2527[[#This Row],[Column2]]</f>
        <v>0</v>
      </c>
    </row>
    <row r="13" spans="1:9" ht="15.75">
      <c r="A13" s="176">
        <f>Comptn.!A12</f>
        <v>0</v>
      </c>
      <c r="B13" s="39">
        <f>Comptn.!B12</f>
        <v>0</v>
      </c>
      <c r="C13" s="39">
        <f>Comptn.!G12</f>
        <v>0</v>
      </c>
      <c r="D13" s="39">
        <f>Comptn.!L12</f>
        <v>0</v>
      </c>
      <c r="E13" s="39">
        <f>Comptn.!Q12</f>
        <v>0</v>
      </c>
      <c r="F13" s="39">
        <f>Comptn.!V12</f>
        <v>0</v>
      </c>
      <c r="G13" s="485"/>
      <c r="I13" s="613">
        <f>Table2527[[#This Row],[Column4]]*Table2527[[#This Row],[Column2]]</f>
        <v>0</v>
      </c>
    </row>
    <row r="14" spans="1:9" ht="15.75">
      <c r="A14" s="176">
        <f>Comptn.!A13</f>
        <v>0</v>
      </c>
      <c r="B14" s="39">
        <f>Comptn.!B13</f>
        <v>0</v>
      </c>
      <c r="C14" s="39">
        <f>Comptn.!G13</f>
        <v>0</v>
      </c>
      <c r="D14" s="39">
        <f>Comptn.!L13</f>
        <v>0</v>
      </c>
      <c r="E14" s="39">
        <f>Comptn.!Q13</f>
        <v>0</v>
      </c>
      <c r="F14" s="39">
        <f>Comptn.!V13</f>
        <v>0</v>
      </c>
      <c r="G14" s="485"/>
      <c r="I14" s="613">
        <f>Table2527[[#This Row],[Column4]]*Table2527[[#This Row],[Column2]]</f>
        <v>0</v>
      </c>
    </row>
    <row r="15" spans="1:9" s="196" customFormat="1" ht="16.5" thickBot="1">
      <c r="A15" s="238" t="s">
        <v>513</v>
      </c>
      <c r="B15" s="241">
        <f t="shared" ref="B15:F15" si="1">SUBTOTAL(109,B9:B14)</f>
        <v>0</v>
      </c>
      <c r="C15" s="241">
        <f t="shared" si="1"/>
        <v>0</v>
      </c>
      <c r="D15" s="241">
        <f t="shared" si="1"/>
        <v>0</v>
      </c>
      <c r="E15" s="241">
        <f t="shared" si="1"/>
        <v>0</v>
      </c>
      <c r="F15" s="241">
        <f t="shared" si="1"/>
        <v>0</v>
      </c>
      <c r="G15" s="241"/>
      <c r="H15" s="240"/>
      <c r="I15" s="45" t="e">
        <f>SUBTOTAL(109,I3:I10)</f>
        <v>#DIV/0!</v>
      </c>
    </row>
    <row r="16" spans="1:9" s="196" customFormat="1" ht="16.5" thickTop="1">
      <c r="A16" s="176"/>
      <c r="B16" s="39"/>
      <c r="C16" s="39"/>
      <c r="D16" s="39"/>
      <c r="E16" s="39"/>
      <c r="F16" s="39"/>
      <c r="G16" s="39"/>
      <c r="H16" s="236"/>
      <c r="I16" s="45"/>
    </row>
    <row r="17" spans="1:9" s="196" customFormat="1" ht="15.75">
      <c r="A17" s="196" t="s">
        <v>200</v>
      </c>
      <c r="B17" s="45"/>
      <c r="C17" s="45"/>
      <c r="D17" s="45"/>
      <c r="E17" s="45"/>
      <c r="F17" s="45"/>
      <c r="G17" s="45"/>
      <c r="H17" s="199"/>
      <c r="I17" s="45"/>
    </row>
    <row r="18" spans="1:9">
      <c r="A18" s="176">
        <f>Comptn.!A16</f>
        <v>0</v>
      </c>
      <c r="B18" s="39">
        <f>Comptn.!B16</f>
        <v>0</v>
      </c>
      <c r="C18" s="39">
        <f>Comptn.!G16</f>
        <v>0</v>
      </c>
      <c r="D18" s="39">
        <f>Comptn.!L16</f>
        <v>0</v>
      </c>
      <c r="E18" s="39">
        <f>Comptn.!Q16</f>
        <v>0</v>
      </c>
      <c r="F18" s="39">
        <f>Comptn.!V16</f>
        <v>0</v>
      </c>
      <c r="I18" s="39">
        <f>Table2527[[#This Row],[Column4]]*Table2527[[#This Row],[Column2]]</f>
        <v>0</v>
      </c>
    </row>
    <row r="19" spans="1:9">
      <c r="A19" s="176">
        <f>Comptn.!A17</f>
        <v>0</v>
      </c>
      <c r="B19" s="39">
        <f>Comptn.!B17</f>
        <v>0</v>
      </c>
      <c r="C19" s="39">
        <f>Comptn.!G17</f>
        <v>0</v>
      </c>
      <c r="D19" s="39">
        <f>Comptn.!L17</f>
        <v>0</v>
      </c>
      <c r="E19" s="39">
        <f>Comptn.!Q17</f>
        <v>0</v>
      </c>
      <c r="F19" s="39">
        <f>Comptn.!V17</f>
        <v>0</v>
      </c>
      <c r="I19" s="39">
        <f>Table2527[[#This Row],[Column4]]*Table2527[[#This Row],[Column2]]</f>
        <v>0</v>
      </c>
    </row>
    <row r="20" spans="1:9">
      <c r="A20" s="176">
        <f>Comptn.!A18</f>
        <v>0</v>
      </c>
      <c r="B20" s="39">
        <f>Comptn.!B18</f>
        <v>0</v>
      </c>
      <c r="C20" s="39">
        <f>Comptn.!G18</f>
        <v>0</v>
      </c>
      <c r="D20" s="39">
        <f>Comptn.!L18</f>
        <v>0</v>
      </c>
      <c r="E20" s="39">
        <f>Comptn.!Q18</f>
        <v>0</v>
      </c>
      <c r="F20" s="39">
        <f>Comptn.!V18</f>
        <v>0</v>
      </c>
      <c r="I20" s="39">
        <f>Table2527[[#This Row],[Column4]]*Table2527[[#This Row],[Column2]]</f>
        <v>0</v>
      </c>
    </row>
    <row r="21" spans="1:9">
      <c r="A21" s="176">
        <f>Comptn.!A19</f>
        <v>0</v>
      </c>
      <c r="B21" s="39">
        <f>Comptn.!B19</f>
        <v>0</v>
      </c>
      <c r="C21" s="39">
        <f>Comptn.!G19</f>
        <v>0</v>
      </c>
      <c r="D21" s="39">
        <f>Comptn.!L19</f>
        <v>0</v>
      </c>
      <c r="E21" s="39">
        <f>Comptn.!Q19</f>
        <v>0</v>
      </c>
      <c r="F21" s="39">
        <f>Comptn.!V19</f>
        <v>0</v>
      </c>
      <c r="I21" s="39">
        <f>Table2527[[#This Row],[Column4]]*Table2527[[#This Row],[Column2]]</f>
        <v>0</v>
      </c>
    </row>
    <row r="22" spans="1:9">
      <c r="A22" s="176">
        <f>Comptn.!A20</f>
        <v>0</v>
      </c>
      <c r="B22" s="39">
        <f>Comptn.!B20</f>
        <v>0</v>
      </c>
      <c r="C22" s="39">
        <f>Comptn.!G20</f>
        <v>0</v>
      </c>
      <c r="D22" s="39">
        <f>Comptn.!L20</f>
        <v>0</v>
      </c>
      <c r="E22" s="39">
        <f>Comptn.!Q20</f>
        <v>0</v>
      </c>
      <c r="F22" s="39">
        <f>Comptn.!V20</f>
        <v>0</v>
      </c>
      <c r="I22" s="39">
        <f>Table2527[[#This Row],[Column4]]*Table2527[[#This Row],[Column2]]</f>
        <v>0</v>
      </c>
    </row>
    <row r="23" spans="1:9">
      <c r="A23" s="176">
        <f>Comptn.!A21</f>
        <v>0</v>
      </c>
      <c r="B23" s="39">
        <f>Comptn.!B21</f>
        <v>0</v>
      </c>
      <c r="C23" s="39">
        <f>Comptn.!G21</f>
        <v>0</v>
      </c>
      <c r="D23" s="39">
        <f>Comptn.!L21</f>
        <v>0</v>
      </c>
      <c r="E23" s="39">
        <f>Comptn.!Q21</f>
        <v>0</v>
      </c>
      <c r="F23" s="39">
        <f>Comptn.!V21</f>
        <v>0</v>
      </c>
      <c r="I23" s="39">
        <f>Table2527[[#This Row],[Column4]]*Table2527[[#This Row],[Column2]]</f>
        <v>0</v>
      </c>
    </row>
    <row r="24" spans="1:9" ht="15.75">
      <c r="A24" s="176">
        <f>Comptn.!A22</f>
        <v>0</v>
      </c>
      <c r="B24" s="39">
        <f>Comptn.!B22</f>
        <v>0</v>
      </c>
      <c r="C24" s="39">
        <f>Comptn.!G22</f>
        <v>0</v>
      </c>
      <c r="D24" s="39">
        <f>Comptn.!L22</f>
        <v>0</v>
      </c>
      <c r="E24" s="39">
        <f>Comptn.!Q22</f>
        <v>0</v>
      </c>
      <c r="F24" s="39">
        <f>Comptn.!V22</f>
        <v>0</v>
      </c>
      <c r="G24" s="485"/>
      <c r="I24" s="613">
        <f>Table2527[[#This Row],[Column4]]*Table2527[[#This Row],[Column2]]</f>
        <v>0</v>
      </c>
    </row>
    <row r="25" spans="1:9" ht="15.75">
      <c r="A25" s="176">
        <f>Comptn.!A23</f>
        <v>0</v>
      </c>
      <c r="B25" s="39">
        <f>Comptn.!B23</f>
        <v>0</v>
      </c>
      <c r="C25" s="39">
        <f>Comptn.!G23</f>
        <v>0</v>
      </c>
      <c r="D25" s="39">
        <f>Comptn.!L23</f>
        <v>0</v>
      </c>
      <c r="E25" s="39">
        <f>Comptn.!Q23</f>
        <v>0</v>
      </c>
      <c r="F25" s="39">
        <f>Comptn.!V23</f>
        <v>0</v>
      </c>
      <c r="G25" s="485"/>
      <c r="I25" s="613">
        <f>Table2527[[#This Row],[Column4]]*Table2527[[#This Row],[Column2]]</f>
        <v>0</v>
      </c>
    </row>
    <row r="26" spans="1:9" ht="15.75">
      <c r="A26" s="176">
        <f>Comptn.!A24</f>
        <v>0</v>
      </c>
      <c r="B26" s="39">
        <f>Comptn.!B24</f>
        <v>0</v>
      </c>
      <c r="C26" s="39">
        <f>Comptn.!G24</f>
        <v>0</v>
      </c>
      <c r="D26" s="39">
        <f>Comptn.!L24</f>
        <v>0</v>
      </c>
      <c r="E26" s="39">
        <f>Comptn.!Q24</f>
        <v>0</v>
      </c>
      <c r="F26" s="39">
        <f>Comptn.!V24</f>
        <v>0</v>
      </c>
      <c r="G26" s="485"/>
      <c r="I26" s="613">
        <f>Table2527[[#This Row],[Column4]]*Table2527[[#This Row],[Column2]]</f>
        <v>0</v>
      </c>
    </row>
    <row r="27" spans="1:9" ht="15.75">
      <c r="A27" s="176">
        <f>Comptn.!A25</f>
        <v>0</v>
      </c>
      <c r="B27" s="39">
        <f>Comptn.!B25</f>
        <v>0</v>
      </c>
      <c r="C27" s="39">
        <f>Comptn.!G25</f>
        <v>0</v>
      </c>
      <c r="D27" s="39">
        <f>Comptn.!L25</f>
        <v>0</v>
      </c>
      <c r="E27" s="39">
        <f>Comptn.!Q25</f>
        <v>0</v>
      </c>
      <c r="F27" s="39">
        <f>Comptn.!V25</f>
        <v>0</v>
      </c>
      <c r="G27" s="485"/>
      <c r="I27" s="613">
        <f>Table2527[[#This Row],[Column4]]*Table2527[[#This Row],[Column2]]</f>
        <v>0</v>
      </c>
    </row>
    <row r="28" spans="1:9" s="196" customFormat="1" ht="16.5" thickBot="1">
      <c r="A28" s="238" t="s">
        <v>513</v>
      </c>
      <c r="B28" s="241">
        <f t="shared" ref="B28:F28" si="2">SUBTOTAL(109,B18:B27)</f>
        <v>0</v>
      </c>
      <c r="C28" s="241">
        <f t="shared" si="2"/>
        <v>0</v>
      </c>
      <c r="D28" s="241">
        <f t="shared" si="2"/>
        <v>0</v>
      </c>
      <c r="E28" s="241">
        <f t="shared" si="2"/>
        <v>0</v>
      </c>
      <c r="F28" s="241">
        <f t="shared" si="2"/>
        <v>0</v>
      </c>
      <c r="G28" s="241"/>
      <c r="H28" s="240"/>
      <c r="I28" s="45">
        <f>SUBTOTAL(109,I18:I23)</f>
        <v>0</v>
      </c>
    </row>
    <row r="29" spans="1:9" s="196" customFormat="1" ht="16.5" thickTop="1">
      <c r="A29" s="176"/>
      <c r="B29" s="39"/>
      <c r="C29" s="39"/>
      <c r="D29" s="39"/>
      <c r="E29" s="39"/>
      <c r="F29" s="39"/>
      <c r="G29" s="39"/>
      <c r="H29" s="236"/>
      <c r="I29" s="45">
        <f>Table2527[[#This Row],[Column4]]*Table2527[[#This Row],[Column2]]</f>
        <v>0</v>
      </c>
    </row>
    <row r="30" spans="1:9" s="196" customFormat="1" ht="16.5" thickBot="1">
      <c r="A30" s="238" t="s">
        <v>593</v>
      </c>
      <c r="B30" s="241">
        <f t="shared" ref="B30:F30" si="3">B15+B28</f>
        <v>0</v>
      </c>
      <c r="C30" s="241">
        <f t="shared" si="3"/>
        <v>0</v>
      </c>
      <c r="D30" s="241">
        <f t="shared" si="3"/>
        <v>0</v>
      </c>
      <c r="E30" s="241">
        <f t="shared" si="3"/>
        <v>0</v>
      </c>
      <c r="F30" s="241">
        <f t="shared" si="3"/>
        <v>0</v>
      </c>
      <c r="G30" s="241">
        <f>Table2527[[#This Row],[Column2]]-Table2527[[#This Row],[Column10]]</f>
        <v>0</v>
      </c>
      <c r="H30" s="240" t="e">
        <f>SUBTOTAL(101,B31:E31)</f>
        <v>#DIV/0!</v>
      </c>
      <c r="I30" s="45" t="e">
        <f>SUBTOTAL(109,I3:I29)</f>
        <v>#DIV/0!</v>
      </c>
    </row>
    <row r="31" spans="1:9" s="196" customFormat="1" ht="16.5" thickTop="1">
      <c r="A31" s="636" t="s">
        <v>592</v>
      </c>
      <c r="B31" s="719" t="e">
        <f>(B30-C30)/C30</f>
        <v>#DIV/0!</v>
      </c>
      <c r="C31" s="719" t="e">
        <f>(C30-D30)/D30</f>
        <v>#DIV/0!</v>
      </c>
      <c r="D31" s="719" t="e">
        <f>(D30-E30)/E30</f>
        <v>#DIV/0!</v>
      </c>
      <c r="E31" s="870" t="e">
        <f>(E30-F30)/F30</f>
        <v>#DIV/0!</v>
      </c>
      <c r="F31" s="623"/>
      <c r="G31" s="265"/>
      <c r="H31" s="623"/>
      <c r="I31" s="265" t="e">
        <f>Table2527[[#This Row],[Column4]]*Table2527[[#This Row],[Column2]]</f>
        <v>#DIV/0!</v>
      </c>
    </row>
    <row r="32" spans="1:9" s="196" customFormat="1" ht="15.75">
      <c r="A32" s="638" t="s">
        <v>496</v>
      </c>
      <c r="B32" s="639" t="e">
        <f>Comptn.!C26</f>
        <v>#DIV/0!</v>
      </c>
      <c r="C32" s="639" t="e">
        <f>Comptn.!H26</f>
        <v>#DIV/0!</v>
      </c>
      <c r="D32" s="639" t="e">
        <f>Comptn.!M26</f>
        <v>#DIV/0!</v>
      </c>
      <c r="E32" s="639" t="e">
        <f>Comptn.!R26</f>
        <v>#DIV/0!</v>
      </c>
      <c r="F32" s="639" t="e">
        <f>E32</f>
        <v>#DIV/0!</v>
      </c>
      <c r="G32" s="640"/>
      <c r="H32" s="639"/>
      <c r="I32" s="265" t="e">
        <f>Table2527[[#This Row],[Column4]]*Table2527[[#This Row],[Column2]]</f>
        <v>#DIV/0!</v>
      </c>
    </row>
    <row r="33" spans="1:9" s="196" customFormat="1" ht="14.25" customHeight="1">
      <c r="A33" s="264"/>
      <c r="B33" s="265"/>
      <c r="C33" s="265"/>
      <c r="D33" s="265"/>
      <c r="E33" s="265"/>
      <c r="F33" s="265"/>
      <c r="G33" s="265"/>
      <c r="H33" s="637"/>
      <c r="I33" s="45"/>
    </row>
    <row r="34" spans="1:9">
      <c r="A34" s="217"/>
    </row>
  </sheetData>
  <sheetProtection password="DA39" sheet="1" objects="1" scenarios="1" selectLockedCells="1"/>
  <mergeCells count="1">
    <mergeCell ref="A1:H1"/>
  </mergeCells>
  <printOptions horizontalCentered="1"/>
  <pageMargins left="0.25" right="0.25" top="0.75" bottom="0.75" header="0.3" footer="0.3"/>
  <pageSetup orientation="landscape" r:id="rId1"/>
  <headerFooter>
    <oddFooter>&amp;L&amp;F&amp;R&amp;A</oddFooter>
  </headerFooter>
  <tableParts count="1">
    <tablePart r:id="rId2"/>
  </tableParts>
</worksheet>
</file>

<file path=xl/worksheets/sheet17.xml><?xml version="1.0" encoding="utf-8"?>
<worksheet xmlns="http://schemas.openxmlformats.org/spreadsheetml/2006/main" xmlns:r="http://schemas.openxmlformats.org/officeDocument/2006/relationships">
  <sheetPr>
    <pageSetUpPr fitToPage="1"/>
  </sheetPr>
  <dimension ref="A1:L42"/>
  <sheetViews>
    <sheetView showGridLines="0" workbookViewId="0">
      <selection activeCell="C2" sqref="C2"/>
    </sheetView>
  </sheetViews>
  <sheetFormatPr defaultRowHeight="15"/>
  <cols>
    <col min="1" max="1" width="35.140625" style="176" bestFit="1" customWidth="1"/>
    <col min="2" max="2" width="13.140625" style="39" customWidth="1"/>
    <col min="3" max="3" width="13" style="236" customWidth="1"/>
    <col min="4" max="4" width="9.85546875" style="39" bestFit="1" customWidth="1"/>
    <col min="5" max="6" width="9.7109375" style="39" bestFit="1" customWidth="1"/>
    <col min="7" max="7" width="10.28515625" style="39" bestFit="1" customWidth="1"/>
    <col min="8" max="8" width="14.42578125" style="39" bestFit="1" customWidth="1"/>
    <col min="9" max="10" width="9.7109375" style="39" bestFit="1" customWidth="1"/>
    <col min="11" max="11" width="10" style="39" bestFit="1" customWidth="1"/>
    <col min="12" max="12" width="9.5703125" style="39" customWidth="1"/>
    <col min="13" max="16384" width="9.140625" style="176"/>
  </cols>
  <sheetData>
    <row r="1" spans="1:12" ht="16.5" thickBot="1">
      <c r="A1" s="807" t="s">
        <v>575</v>
      </c>
      <c r="B1" s="808"/>
      <c r="C1" s="808"/>
      <c r="D1" s="808"/>
      <c r="E1" s="808"/>
      <c r="F1" s="808"/>
      <c r="G1" s="808"/>
      <c r="H1" s="808"/>
      <c r="I1" s="808"/>
      <c r="J1" s="808"/>
      <c r="K1" s="808"/>
      <c r="L1" s="809"/>
    </row>
    <row r="2" spans="1:12" ht="15.75" thickBot="1">
      <c r="A2" s="252"/>
      <c r="B2" s="253"/>
      <c r="C2" s="254"/>
    </row>
    <row r="3" spans="1:12" ht="15.75">
      <c r="A3" s="535" t="s">
        <v>187</v>
      </c>
      <c r="B3" s="526" t="s">
        <v>185</v>
      </c>
      <c r="C3" s="536" t="s">
        <v>199</v>
      </c>
      <c r="D3" s="723" t="s">
        <v>186</v>
      </c>
      <c r="E3" s="723"/>
      <c r="F3" s="723"/>
      <c r="G3" s="723"/>
      <c r="H3" s="723" t="s">
        <v>578</v>
      </c>
      <c r="I3" s="723"/>
      <c r="J3" s="723"/>
      <c r="K3" s="723"/>
      <c r="L3" s="724"/>
    </row>
    <row r="4" spans="1:12" ht="32.25" thickBot="1">
      <c r="A4" s="540"/>
      <c r="B4" s="532" t="s">
        <v>188</v>
      </c>
      <c r="C4" s="541" t="s">
        <v>189</v>
      </c>
      <c r="D4" s="725" t="s">
        <v>577</v>
      </c>
      <c r="E4" s="725" t="s">
        <v>258</v>
      </c>
      <c r="F4" s="725" t="s">
        <v>259</v>
      </c>
      <c r="G4" s="725" t="s">
        <v>260</v>
      </c>
      <c r="H4" s="725" t="s">
        <v>261</v>
      </c>
      <c r="I4" s="725" t="s">
        <v>262</v>
      </c>
      <c r="J4" s="725" t="s">
        <v>579</v>
      </c>
      <c r="K4" s="725" t="s">
        <v>580</v>
      </c>
      <c r="L4" s="726" t="s">
        <v>263</v>
      </c>
    </row>
    <row r="5" spans="1:12" ht="16.5" thickBot="1">
      <c r="A5" s="540"/>
      <c r="B5" s="532"/>
      <c r="C5" s="615"/>
      <c r="D5" s="727"/>
      <c r="E5" s="727"/>
      <c r="F5" s="727"/>
      <c r="G5" s="727"/>
      <c r="H5" s="727"/>
      <c r="I5" s="727"/>
      <c r="J5" s="727"/>
      <c r="K5" s="727"/>
      <c r="L5" s="728"/>
    </row>
    <row r="6" spans="1:12">
      <c r="A6" s="617" t="s">
        <v>576</v>
      </c>
      <c r="B6" s="618"/>
      <c r="C6" s="619" t="e">
        <f>Comptn.!W26</f>
        <v>#DIV/0!</v>
      </c>
      <c r="D6" s="722"/>
      <c r="E6" s="722"/>
      <c r="F6" s="722"/>
      <c r="G6" s="722"/>
      <c r="H6" s="722"/>
      <c r="I6" s="722"/>
      <c r="J6" s="722"/>
      <c r="K6" s="722"/>
      <c r="L6" s="722"/>
    </row>
    <row r="7" spans="1:12" ht="15.75">
      <c r="A7" s="196" t="s">
        <v>192</v>
      </c>
      <c r="D7" s="722"/>
      <c r="E7" s="722"/>
      <c r="F7" s="722"/>
      <c r="G7" s="722"/>
      <c r="H7" s="722"/>
      <c r="I7" s="722"/>
      <c r="J7" s="722"/>
      <c r="K7" s="722"/>
      <c r="L7" s="722"/>
    </row>
    <row r="8" spans="1:12">
      <c r="A8" s="176">
        <f>Comptn.!A9</f>
        <v>0</v>
      </c>
      <c r="B8" s="39">
        <f>'8'!B6</f>
        <v>0</v>
      </c>
      <c r="C8" s="236">
        <f>'9'!E7</f>
        <v>0</v>
      </c>
      <c r="D8" s="722" t="e">
        <f>Table2517[[#This Row],[Column2]]*Table2517[[#This Row],[Column4]]*$C$6</f>
        <v>#DIV/0!</v>
      </c>
      <c r="E8" s="722" t="e">
        <f>Comptn.!G33*Table2517[[#This Row],[Column3]]</f>
        <v>#DIV/0!</v>
      </c>
      <c r="F8" s="722" t="e">
        <f>Comptn.!H33*Table2517[[#This Row],[Column3]]</f>
        <v>#DIV/0!</v>
      </c>
      <c r="G8" s="722" t="e">
        <f>Comptn.!J33*Table2517[[#This Row],[Column3]]</f>
        <v>#DIV/0!</v>
      </c>
      <c r="H8" s="722" t="e">
        <f>Comptn.!L33*Table2517[[#This Row],[Column3]]</f>
        <v>#DIV/0!</v>
      </c>
      <c r="I8" s="722" t="e">
        <f>Comptn.!M33*Table2517[[#This Row],[Column3]]</f>
        <v>#DIV/0!</v>
      </c>
      <c r="J8" s="722" t="e">
        <f>Comptn.!O33*Table2517[[#This Row],[Column3]]</f>
        <v>#DIV/0!</v>
      </c>
      <c r="K8" s="722" t="e">
        <f>Comptn.!Q33*Table2517[[#This Row],[Column3]]</f>
        <v>#DIV/0!</v>
      </c>
      <c r="L8" s="722" t="e">
        <f>Comptn.!R33*Table2517[[#This Row],[Column3]]</f>
        <v>#DIV/0!</v>
      </c>
    </row>
    <row r="9" spans="1:12">
      <c r="A9" s="176">
        <f>Comptn.!A10</f>
        <v>0</v>
      </c>
      <c r="B9" s="39">
        <f>'8'!B7</f>
        <v>0</v>
      </c>
      <c r="C9" s="236">
        <f>'9'!E8</f>
        <v>0</v>
      </c>
      <c r="D9" s="722" t="e">
        <f>Table2517[[#This Row],[Column2]]*Table2517[[#This Row],[Column4]]*$C$6</f>
        <v>#DIV/0!</v>
      </c>
      <c r="E9" s="722" t="e">
        <f>Comptn.!G34*Table2517[[#This Row],[Column3]]</f>
        <v>#DIV/0!</v>
      </c>
      <c r="F9" s="722" t="e">
        <f>Comptn.!H34*Table2517[[#This Row],[Column3]]</f>
        <v>#DIV/0!</v>
      </c>
      <c r="G9" s="722" t="e">
        <f>Comptn.!J34*Table2517[[#This Row],[Column3]]</f>
        <v>#DIV/0!</v>
      </c>
      <c r="H9" s="722" t="e">
        <f>Comptn.!L34*Table2517[[#This Row],[Column3]]</f>
        <v>#DIV/0!</v>
      </c>
      <c r="I9" s="722" t="e">
        <f>Comptn.!M34*Table2517[[#This Row],[Column3]]</f>
        <v>#DIV/0!</v>
      </c>
      <c r="J9" s="722" t="e">
        <f>Comptn.!O34*Table2517[[#This Row],[Column3]]</f>
        <v>#DIV/0!</v>
      </c>
      <c r="K9" s="722" t="e">
        <f>Comptn.!Q34*Table2517[[#This Row],[Column3]]</f>
        <v>#DIV/0!</v>
      </c>
      <c r="L9" s="722" t="e">
        <f>Comptn.!R34*Table2517[[#This Row],[Column3]]</f>
        <v>#DIV/0!</v>
      </c>
    </row>
    <row r="10" spans="1:12">
      <c r="A10" s="176">
        <f>Comptn.!A11</f>
        <v>0</v>
      </c>
      <c r="B10" s="39">
        <f>'8'!B8</f>
        <v>0</v>
      </c>
      <c r="C10" s="236">
        <f>'9'!E9</f>
        <v>0</v>
      </c>
      <c r="D10" s="722" t="e">
        <f>Table2517[[#This Row],[Column2]]*Table2517[[#This Row],[Column4]]*$C$6</f>
        <v>#DIV/0!</v>
      </c>
      <c r="E10" s="722" t="e">
        <f>Comptn.!G35*Table2517[[#This Row],[Column3]]</f>
        <v>#DIV/0!</v>
      </c>
      <c r="F10" s="722" t="e">
        <f>Comptn.!H35*Table2517[[#This Row],[Column3]]</f>
        <v>#DIV/0!</v>
      </c>
      <c r="G10" s="722" t="e">
        <f>Comptn.!J35*Table2517[[#This Row],[Column3]]</f>
        <v>#DIV/0!</v>
      </c>
      <c r="H10" s="722" t="e">
        <f>Comptn.!L35*Table2517[[#This Row],[Column3]]</f>
        <v>#DIV/0!</v>
      </c>
      <c r="I10" s="722" t="e">
        <f>Comptn.!M35*Table2517[[#This Row],[Column3]]</f>
        <v>#DIV/0!</v>
      </c>
      <c r="J10" s="722" t="e">
        <f>Comptn.!O35*Table2517[[#This Row],[Column3]]</f>
        <v>#DIV/0!</v>
      </c>
      <c r="K10" s="722" t="e">
        <f>Comptn.!Q35*Table2517[[#This Row],[Column3]]</f>
        <v>#DIV/0!</v>
      </c>
      <c r="L10" s="722" t="e">
        <f>Comptn.!R35*Table2517[[#This Row],[Column3]]</f>
        <v>#DIV/0!</v>
      </c>
    </row>
    <row r="11" spans="1:12">
      <c r="A11" s="176">
        <f>Comptn.!A12</f>
        <v>0</v>
      </c>
      <c r="B11" s="39">
        <f>'8'!B9</f>
        <v>0</v>
      </c>
      <c r="C11" s="236">
        <f>'9'!E10</f>
        <v>0</v>
      </c>
      <c r="D11" s="722" t="e">
        <f>Table2517[[#This Row],[Column2]]*Table2517[[#This Row],[Column4]]*$C$6</f>
        <v>#DIV/0!</v>
      </c>
      <c r="E11" s="722" t="e">
        <f>Comptn.!G36*Table2517[[#This Row],[Column3]]</f>
        <v>#DIV/0!</v>
      </c>
      <c r="F11" s="722" t="e">
        <f>Comptn.!H36*Table2517[[#This Row],[Column3]]</f>
        <v>#DIV/0!</v>
      </c>
      <c r="G11" s="722" t="e">
        <f>Comptn.!J36*Table2517[[#This Row],[Column3]]</f>
        <v>#DIV/0!</v>
      </c>
      <c r="H11" s="722" t="e">
        <f>Comptn.!L36*Table2517[[#This Row],[Column3]]</f>
        <v>#DIV/0!</v>
      </c>
      <c r="I11" s="722" t="e">
        <f>Comptn.!M36*Table2517[[#This Row],[Column3]]</f>
        <v>#DIV/0!</v>
      </c>
      <c r="J11" s="722" t="e">
        <f>Comptn.!O36*Table2517[[#This Row],[Column3]]</f>
        <v>#DIV/0!</v>
      </c>
      <c r="K11" s="722" t="e">
        <f>Comptn.!Q36*Table2517[[#This Row],[Column3]]</f>
        <v>#DIV/0!</v>
      </c>
      <c r="L11" s="722" t="e">
        <f>Comptn.!R36*Table2517[[#This Row],[Column3]]</f>
        <v>#DIV/0!</v>
      </c>
    </row>
    <row r="12" spans="1:12">
      <c r="A12" s="176">
        <f>Comptn.!A13</f>
        <v>0</v>
      </c>
      <c r="B12" s="39">
        <f>'8'!B10</f>
        <v>0</v>
      </c>
      <c r="C12" s="236">
        <f>'9'!E11</f>
        <v>0</v>
      </c>
      <c r="D12" s="722" t="e">
        <f>Table2517[[#This Row],[Column2]]*Table2517[[#This Row],[Column4]]*$C$6</f>
        <v>#DIV/0!</v>
      </c>
      <c r="E12" s="722" t="e">
        <f>Comptn.!G37*Table2517[[#This Row],[Column3]]</f>
        <v>#DIV/0!</v>
      </c>
      <c r="F12" s="722" t="e">
        <f>Comptn.!H37*Table2517[[#This Row],[Column3]]</f>
        <v>#DIV/0!</v>
      </c>
      <c r="G12" s="722" t="e">
        <f>Comptn.!J37*Table2517[[#This Row],[Column3]]</f>
        <v>#DIV/0!</v>
      </c>
      <c r="H12" s="722" t="e">
        <f>Comptn.!L37*Table2517[[#This Row],[Column3]]</f>
        <v>#DIV/0!</v>
      </c>
      <c r="I12" s="722" t="e">
        <f>Comptn.!M37*Table2517[[#This Row],[Column3]]</f>
        <v>#DIV/0!</v>
      </c>
      <c r="J12" s="722" t="e">
        <f>Comptn.!O37*Table2517[[#This Row],[Column3]]</f>
        <v>#DIV/0!</v>
      </c>
      <c r="K12" s="722" t="e">
        <f>Comptn.!Q37*Table2517[[#This Row],[Column3]]</f>
        <v>#DIV/0!</v>
      </c>
      <c r="L12" s="722" t="e">
        <f>Comptn.!R37*Table2517[[#This Row],[Column3]]</f>
        <v>#DIV/0!</v>
      </c>
    </row>
    <row r="13" spans="1:12" s="196" customFormat="1" ht="16.5" thickBot="1">
      <c r="A13" s="238" t="s">
        <v>513</v>
      </c>
      <c r="B13" s="241">
        <f>SUBTOTAL(109,B7:B8)</f>
        <v>0</v>
      </c>
      <c r="C13" s="240"/>
      <c r="D13" s="729" t="e">
        <f>SUBTOTAL(109,D3:D12)</f>
        <v>#DIV/0!</v>
      </c>
      <c r="E13" s="729" t="e">
        <f t="shared" ref="E13:L13" si="0">SUBTOTAL(109,E3:E12)</f>
        <v>#DIV/0!</v>
      </c>
      <c r="F13" s="729" t="e">
        <f t="shared" si="0"/>
        <v>#DIV/0!</v>
      </c>
      <c r="G13" s="729" t="e">
        <f t="shared" si="0"/>
        <v>#DIV/0!</v>
      </c>
      <c r="H13" s="729" t="e">
        <f t="shared" si="0"/>
        <v>#DIV/0!</v>
      </c>
      <c r="I13" s="729" t="e">
        <f t="shared" si="0"/>
        <v>#DIV/0!</v>
      </c>
      <c r="J13" s="729" t="e">
        <f t="shared" si="0"/>
        <v>#DIV/0!</v>
      </c>
      <c r="K13" s="729" t="e">
        <f t="shared" si="0"/>
        <v>#DIV/0!</v>
      </c>
      <c r="L13" s="729" t="e">
        <f t="shared" si="0"/>
        <v>#DIV/0!</v>
      </c>
    </row>
    <row r="14" spans="1:12" s="196" customFormat="1" ht="16.5" thickTop="1">
      <c r="A14" s="176"/>
      <c r="B14" s="39"/>
      <c r="C14" s="236"/>
      <c r="D14" s="730"/>
      <c r="E14" s="730"/>
      <c r="F14" s="730"/>
      <c r="G14" s="730"/>
      <c r="H14" s="730"/>
      <c r="I14" s="730"/>
      <c r="J14" s="730"/>
      <c r="K14" s="730"/>
      <c r="L14" s="730"/>
    </row>
    <row r="15" spans="1:12" s="196" customFormat="1" ht="15.75">
      <c r="A15" s="196" t="s">
        <v>200</v>
      </c>
      <c r="B15" s="45"/>
      <c r="C15" s="199"/>
      <c r="D15" s="730"/>
      <c r="E15" s="730"/>
      <c r="F15" s="730"/>
      <c r="G15" s="730"/>
      <c r="H15" s="730"/>
      <c r="I15" s="730"/>
      <c r="J15" s="730"/>
      <c r="K15" s="730"/>
      <c r="L15" s="730"/>
    </row>
    <row r="16" spans="1:12">
      <c r="A16" s="176">
        <f>Comptn.!A16</f>
        <v>0</v>
      </c>
      <c r="B16" s="39">
        <f>'8'!B12</f>
        <v>0</v>
      </c>
      <c r="C16" s="236">
        <f>'9'!E15</f>
        <v>0</v>
      </c>
      <c r="D16" s="722" t="e">
        <f>Table2517[[#This Row],[Column2]]*Table2517[[#This Row],[Column4]]*$C$6</f>
        <v>#DIV/0!</v>
      </c>
      <c r="E16" s="722" t="e">
        <f>Comptn.!G40*Table2517[[#This Row],[Column3]]</f>
        <v>#DIV/0!</v>
      </c>
      <c r="F16" s="722" t="e">
        <f>Comptn.!H40*Table2517[[#This Row],[Column3]]</f>
        <v>#DIV/0!</v>
      </c>
      <c r="G16" s="722" t="e">
        <f>Comptn.!J40*Table2517[[#This Row],[Column3]]</f>
        <v>#DIV/0!</v>
      </c>
      <c r="H16" s="722" t="e">
        <f>Comptn.!L40*Table2517[[#This Row],[Column3]]</f>
        <v>#DIV/0!</v>
      </c>
      <c r="I16" s="722" t="e">
        <f>Comptn.!M40*Table2517[[#This Row],[Column3]]</f>
        <v>#DIV/0!</v>
      </c>
      <c r="J16" s="722" t="e">
        <f>Comptn.!O40*Table2517[[#This Row],[Column3]]</f>
        <v>#DIV/0!</v>
      </c>
      <c r="K16" s="722" t="e">
        <f>Comptn.!Q40*Table2517[[#This Row],[Column3]]</f>
        <v>#DIV/0!</v>
      </c>
      <c r="L16" s="722" t="e">
        <f>Comptn.!R40*Table2517[[#This Row],[Column3]]</f>
        <v>#DIV/0!</v>
      </c>
    </row>
    <row r="17" spans="1:12">
      <c r="A17" s="176">
        <f>Comptn.!A17</f>
        <v>0</v>
      </c>
      <c r="B17" s="39">
        <f>'8'!B13</f>
        <v>0</v>
      </c>
      <c r="C17" s="236">
        <f>'9'!E16</f>
        <v>0</v>
      </c>
      <c r="D17" s="722" t="e">
        <f>Table2517[[#This Row],[Column2]]*Table2517[[#This Row],[Column4]]*$C$6</f>
        <v>#DIV/0!</v>
      </c>
      <c r="E17" s="722" t="e">
        <f>Comptn.!G41*Table2517[[#This Row],[Column3]]</f>
        <v>#DIV/0!</v>
      </c>
      <c r="F17" s="722" t="e">
        <f>Comptn.!H41*Table2517[[#This Row],[Column3]]</f>
        <v>#DIV/0!</v>
      </c>
      <c r="G17" s="722" t="e">
        <f>Comptn.!J41*Table2517[[#This Row],[Column3]]</f>
        <v>#DIV/0!</v>
      </c>
      <c r="H17" s="722" t="e">
        <f>Comptn.!L41*Table2517[[#This Row],[Column3]]</f>
        <v>#DIV/0!</v>
      </c>
      <c r="I17" s="722" t="e">
        <f>Comptn.!M41*Table2517[[#This Row],[Column3]]</f>
        <v>#DIV/0!</v>
      </c>
      <c r="J17" s="722" t="e">
        <f>Comptn.!O41*Table2517[[#This Row],[Column3]]</f>
        <v>#DIV/0!</v>
      </c>
      <c r="K17" s="722" t="e">
        <f>Comptn.!Q41*Table2517[[#This Row],[Column3]]</f>
        <v>#DIV/0!</v>
      </c>
      <c r="L17" s="722" t="e">
        <f>Comptn.!R41*Table2517[[#This Row],[Column3]]</f>
        <v>#DIV/0!</v>
      </c>
    </row>
    <row r="18" spans="1:12">
      <c r="A18" s="176">
        <f>Comptn.!A18</f>
        <v>0</v>
      </c>
      <c r="B18" s="39">
        <f>'8'!B14</f>
        <v>0</v>
      </c>
      <c r="C18" s="236">
        <f>'9'!E17</f>
        <v>0</v>
      </c>
      <c r="D18" s="722" t="e">
        <f>Table2517[[#This Row],[Column2]]*Table2517[[#This Row],[Column4]]*$C$6</f>
        <v>#DIV/0!</v>
      </c>
      <c r="E18" s="722" t="e">
        <f>Comptn.!G42*Table2517[[#This Row],[Column3]]</f>
        <v>#DIV/0!</v>
      </c>
      <c r="F18" s="722" t="e">
        <f>Comptn.!H42*Table2517[[#This Row],[Column3]]</f>
        <v>#DIV/0!</v>
      </c>
      <c r="G18" s="722" t="e">
        <f>Comptn.!J42*Table2517[[#This Row],[Column3]]</f>
        <v>#DIV/0!</v>
      </c>
      <c r="H18" s="722" t="e">
        <f>Comptn.!L42*Table2517[[#This Row],[Column3]]</f>
        <v>#DIV/0!</v>
      </c>
      <c r="I18" s="722" t="e">
        <f>Comptn.!M42*Table2517[[#This Row],[Column3]]</f>
        <v>#DIV/0!</v>
      </c>
      <c r="J18" s="722" t="e">
        <f>Comptn.!O42*Table2517[[#This Row],[Column3]]</f>
        <v>#DIV/0!</v>
      </c>
      <c r="K18" s="722" t="e">
        <f>Comptn.!Q42*Table2517[[#This Row],[Column3]]</f>
        <v>#DIV/0!</v>
      </c>
      <c r="L18" s="722" t="e">
        <f>Comptn.!R42*Table2517[[#This Row],[Column3]]</f>
        <v>#DIV/0!</v>
      </c>
    </row>
    <row r="19" spans="1:12">
      <c r="A19" s="176">
        <f>Comptn.!A19</f>
        <v>0</v>
      </c>
      <c r="B19" s="39">
        <f>'8'!B15</f>
        <v>0</v>
      </c>
      <c r="C19" s="236">
        <f>'9'!E18</f>
        <v>0</v>
      </c>
      <c r="D19" s="722" t="e">
        <f>Table2517[[#This Row],[Column2]]*Table2517[[#This Row],[Column4]]*$C$6</f>
        <v>#DIV/0!</v>
      </c>
      <c r="E19" s="722" t="e">
        <f>Comptn.!G43*Table2517[[#This Row],[Column3]]</f>
        <v>#DIV/0!</v>
      </c>
      <c r="F19" s="722" t="e">
        <f>Comptn.!H43*Table2517[[#This Row],[Column3]]</f>
        <v>#DIV/0!</v>
      </c>
      <c r="G19" s="722" t="e">
        <f>Comptn.!J43*Table2517[[#This Row],[Column3]]</f>
        <v>#DIV/0!</v>
      </c>
      <c r="H19" s="722" t="e">
        <f>Comptn.!L43*Table2517[[#This Row],[Column3]]</f>
        <v>#DIV/0!</v>
      </c>
      <c r="I19" s="722" t="e">
        <f>Comptn.!M43*Table2517[[#This Row],[Column3]]</f>
        <v>#DIV/0!</v>
      </c>
      <c r="J19" s="722" t="e">
        <f>Comptn.!O43*Table2517[[#This Row],[Column3]]</f>
        <v>#DIV/0!</v>
      </c>
      <c r="K19" s="722" t="e">
        <f>Comptn.!Q43*Table2517[[#This Row],[Column3]]</f>
        <v>#DIV/0!</v>
      </c>
      <c r="L19" s="722" t="e">
        <f>Comptn.!R43*Table2517[[#This Row],[Column3]]</f>
        <v>#DIV/0!</v>
      </c>
    </row>
    <row r="20" spans="1:12">
      <c r="A20" s="176">
        <f>Comptn.!A20</f>
        <v>0</v>
      </c>
      <c r="B20" s="39">
        <f>'8'!B16</f>
        <v>0</v>
      </c>
      <c r="C20" s="236">
        <f>'9'!E19</f>
        <v>0</v>
      </c>
      <c r="D20" s="722" t="e">
        <f>Table2517[[#This Row],[Column2]]*Table2517[[#This Row],[Column4]]*$C$6</f>
        <v>#DIV/0!</v>
      </c>
      <c r="E20" s="722" t="e">
        <f>Comptn.!G44*Table2517[[#This Row],[Column3]]</f>
        <v>#DIV/0!</v>
      </c>
      <c r="F20" s="722" t="e">
        <f>Comptn.!H44*Table2517[[#This Row],[Column3]]</f>
        <v>#DIV/0!</v>
      </c>
      <c r="G20" s="722" t="e">
        <f>Comptn.!J44*Table2517[[#This Row],[Column3]]</f>
        <v>#DIV/0!</v>
      </c>
      <c r="H20" s="722" t="e">
        <f>Comptn.!L44*Table2517[[#This Row],[Column3]]</f>
        <v>#DIV/0!</v>
      </c>
      <c r="I20" s="722" t="e">
        <f>Comptn.!M44*Table2517[[#This Row],[Column3]]</f>
        <v>#DIV/0!</v>
      </c>
      <c r="J20" s="722" t="e">
        <f>Comptn.!O44*Table2517[[#This Row],[Column3]]</f>
        <v>#DIV/0!</v>
      </c>
      <c r="K20" s="722" t="e">
        <f>Comptn.!Q44*Table2517[[#This Row],[Column3]]</f>
        <v>#DIV/0!</v>
      </c>
      <c r="L20" s="722" t="e">
        <f>Comptn.!R44*Table2517[[#This Row],[Column3]]</f>
        <v>#DIV/0!</v>
      </c>
    </row>
    <row r="21" spans="1:12">
      <c r="A21" s="176">
        <f>Comptn.!A21</f>
        <v>0</v>
      </c>
      <c r="B21" s="39">
        <f>'8'!B17</f>
        <v>0</v>
      </c>
      <c r="C21" s="236">
        <f>'9'!E20</f>
        <v>0</v>
      </c>
      <c r="D21" s="722" t="e">
        <f>Table2517[[#This Row],[Column2]]*Table2517[[#This Row],[Column4]]*$C$6</f>
        <v>#DIV/0!</v>
      </c>
      <c r="E21" s="722" t="e">
        <f>Comptn.!G45*Table2517[[#This Row],[Column3]]</f>
        <v>#DIV/0!</v>
      </c>
      <c r="F21" s="722" t="e">
        <f>Comptn.!H45*Table2517[[#This Row],[Column3]]</f>
        <v>#DIV/0!</v>
      </c>
      <c r="G21" s="722" t="e">
        <f>Comptn.!J45*Table2517[[#This Row],[Column3]]</f>
        <v>#DIV/0!</v>
      </c>
      <c r="H21" s="722" t="e">
        <f>Comptn.!L45*Table2517[[#This Row],[Column3]]</f>
        <v>#DIV/0!</v>
      </c>
      <c r="I21" s="722" t="e">
        <f>Comptn.!M45*Table2517[[#This Row],[Column3]]</f>
        <v>#DIV/0!</v>
      </c>
      <c r="J21" s="722" t="e">
        <f>Comptn.!O45*Table2517[[#This Row],[Column3]]</f>
        <v>#DIV/0!</v>
      </c>
      <c r="K21" s="722" t="e">
        <f>Comptn.!Q45*Table2517[[#This Row],[Column3]]</f>
        <v>#DIV/0!</v>
      </c>
      <c r="L21" s="722" t="e">
        <f>Comptn.!R45*Table2517[[#This Row],[Column3]]</f>
        <v>#DIV/0!</v>
      </c>
    </row>
    <row r="22" spans="1:12">
      <c r="A22" s="176">
        <f>Comptn.!A22</f>
        <v>0</v>
      </c>
      <c r="B22" s="39">
        <f>'8'!B18</f>
        <v>0</v>
      </c>
      <c r="C22" s="236">
        <f>'9'!E21</f>
        <v>0</v>
      </c>
      <c r="D22" s="722" t="e">
        <f>Table2517[[#This Row],[Column2]]*Table2517[[#This Row],[Column4]]*$C$6</f>
        <v>#DIV/0!</v>
      </c>
      <c r="E22" s="722" t="e">
        <f>Comptn.!G46*Table2517[[#This Row],[Column3]]</f>
        <v>#DIV/0!</v>
      </c>
      <c r="F22" s="722" t="e">
        <f>Comptn.!H46*Table2517[[#This Row],[Column3]]</f>
        <v>#DIV/0!</v>
      </c>
      <c r="G22" s="722" t="e">
        <f>Comptn.!J46*Table2517[[#This Row],[Column3]]</f>
        <v>#DIV/0!</v>
      </c>
      <c r="H22" s="722" t="e">
        <f>Comptn.!L46*Table2517[[#This Row],[Column3]]</f>
        <v>#DIV/0!</v>
      </c>
      <c r="I22" s="722" t="e">
        <f>Comptn.!M46*Table2517[[#This Row],[Column3]]</f>
        <v>#DIV/0!</v>
      </c>
      <c r="J22" s="722" t="e">
        <f>Comptn.!O46*Table2517[[#This Row],[Column3]]</f>
        <v>#DIV/0!</v>
      </c>
      <c r="K22" s="722" t="e">
        <f>Comptn.!Q46*Table2517[[#This Row],[Column3]]</f>
        <v>#DIV/0!</v>
      </c>
      <c r="L22" s="722" t="e">
        <f>Comptn.!R46*Table2517[[#This Row],[Column3]]</f>
        <v>#DIV/0!</v>
      </c>
    </row>
    <row r="23" spans="1:12">
      <c r="A23" s="176">
        <f>Comptn.!A23</f>
        <v>0</v>
      </c>
      <c r="B23" s="39">
        <f>'8'!B19</f>
        <v>0</v>
      </c>
      <c r="C23" s="236">
        <f>'9'!E22</f>
        <v>0</v>
      </c>
      <c r="D23" s="722" t="e">
        <f>Table2517[[#This Row],[Column2]]*Table2517[[#This Row],[Column4]]*$C$6</f>
        <v>#DIV/0!</v>
      </c>
      <c r="E23" s="722" t="e">
        <f>Comptn.!G47*Table2517[[#This Row],[Column3]]</f>
        <v>#DIV/0!</v>
      </c>
      <c r="F23" s="722" t="e">
        <f>Comptn.!H47*Table2517[[#This Row],[Column3]]</f>
        <v>#DIV/0!</v>
      </c>
      <c r="G23" s="722" t="e">
        <f>Comptn.!J47*Table2517[[#This Row],[Column3]]</f>
        <v>#DIV/0!</v>
      </c>
      <c r="H23" s="722" t="e">
        <f>Comptn.!L47*Table2517[[#This Row],[Column3]]</f>
        <v>#DIV/0!</v>
      </c>
      <c r="I23" s="722" t="e">
        <f>Comptn.!M47*Table2517[[#This Row],[Column3]]</f>
        <v>#DIV/0!</v>
      </c>
      <c r="J23" s="722" t="e">
        <f>Comptn.!O47*Table2517[[#This Row],[Column3]]</f>
        <v>#DIV/0!</v>
      </c>
      <c r="K23" s="722" t="e">
        <f>Comptn.!Q47*Table2517[[#This Row],[Column3]]</f>
        <v>#DIV/0!</v>
      </c>
      <c r="L23" s="722" t="e">
        <f>Comptn.!R47*Table2517[[#This Row],[Column3]]</f>
        <v>#DIV/0!</v>
      </c>
    </row>
    <row r="24" spans="1:12">
      <c r="A24" s="176">
        <f>Comptn.!A24</f>
        <v>0</v>
      </c>
      <c r="B24" s="39">
        <f>'8'!B20</f>
        <v>0</v>
      </c>
      <c r="C24" s="236">
        <f>'9'!E23</f>
        <v>0</v>
      </c>
      <c r="D24" s="722" t="e">
        <f>Table2517[[#This Row],[Column2]]*Table2517[[#This Row],[Column4]]*$C$6</f>
        <v>#DIV/0!</v>
      </c>
      <c r="E24" s="722" t="e">
        <f>Comptn.!G48*Table2517[[#This Row],[Column3]]</f>
        <v>#DIV/0!</v>
      </c>
      <c r="F24" s="722" t="e">
        <f>Comptn.!H48*Table2517[[#This Row],[Column3]]</f>
        <v>#DIV/0!</v>
      </c>
      <c r="G24" s="722" t="e">
        <f>Comptn.!J48*Table2517[[#This Row],[Column3]]</f>
        <v>#DIV/0!</v>
      </c>
      <c r="H24" s="722" t="e">
        <f>Comptn.!L48*Table2517[[#This Row],[Column3]]</f>
        <v>#DIV/0!</v>
      </c>
      <c r="I24" s="722" t="e">
        <f>Comptn.!M48*Table2517[[#This Row],[Column3]]</f>
        <v>#DIV/0!</v>
      </c>
      <c r="J24" s="722" t="e">
        <f>Comptn.!O48*Table2517[[#This Row],[Column3]]</f>
        <v>#DIV/0!</v>
      </c>
      <c r="K24" s="722" t="e">
        <f>Comptn.!Q48*Table2517[[#This Row],[Column3]]</f>
        <v>#DIV/0!</v>
      </c>
      <c r="L24" s="722" t="e">
        <f>Comptn.!R48*Table2517[[#This Row],[Column3]]</f>
        <v>#DIV/0!</v>
      </c>
    </row>
    <row r="25" spans="1:12">
      <c r="A25" s="176">
        <f>Comptn.!A25</f>
        <v>0</v>
      </c>
      <c r="B25" s="39">
        <f>'8'!B21</f>
        <v>0</v>
      </c>
      <c r="C25" s="236">
        <f>'9'!E24</f>
        <v>0</v>
      </c>
      <c r="D25" s="722" t="e">
        <f>Table2517[[#This Row],[Column2]]*Table2517[[#This Row],[Column4]]*$C$6</f>
        <v>#DIV/0!</v>
      </c>
      <c r="E25" s="722" t="e">
        <f>Comptn.!G49*Table2517[[#This Row],[Column3]]</f>
        <v>#DIV/0!</v>
      </c>
      <c r="F25" s="722" t="e">
        <f>Comptn.!H49*Table2517[[#This Row],[Column3]]</f>
        <v>#DIV/0!</v>
      </c>
      <c r="G25" s="722" t="e">
        <f>Comptn.!J49*Table2517[[#This Row],[Column3]]</f>
        <v>#DIV/0!</v>
      </c>
      <c r="H25" s="722" t="e">
        <f>Comptn.!L49*Table2517[[#This Row],[Column3]]</f>
        <v>#DIV/0!</v>
      </c>
      <c r="I25" s="722" t="e">
        <f>Comptn.!M49*Table2517[[#This Row],[Column3]]</f>
        <v>#DIV/0!</v>
      </c>
      <c r="J25" s="722" t="e">
        <f>Comptn.!O49*Table2517[[#This Row],[Column3]]</f>
        <v>#DIV/0!</v>
      </c>
      <c r="K25" s="722" t="e">
        <f>Comptn.!Q49*Table2517[[#This Row],[Column3]]</f>
        <v>#DIV/0!</v>
      </c>
      <c r="L25" s="722" t="e">
        <f>Comptn.!R49*Table2517[[#This Row],[Column3]]</f>
        <v>#DIV/0!</v>
      </c>
    </row>
    <row r="26" spans="1:12" s="196" customFormat="1" ht="16.5" thickBot="1">
      <c r="A26" s="238" t="s">
        <v>513</v>
      </c>
      <c r="B26" s="241">
        <f>SUBTOTAL(109,B16:B21)</f>
        <v>0</v>
      </c>
      <c r="C26" s="240"/>
      <c r="D26" s="729" t="e">
        <f>SUBTOTAL(109,D16:D25)</f>
        <v>#DIV/0!</v>
      </c>
      <c r="E26" s="729" t="e">
        <f t="shared" ref="E26:L26" si="1">SUBTOTAL(109,E16:E25)</f>
        <v>#DIV/0!</v>
      </c>
      <c r="F26" s="729" t="e">
        <f t="shared" si="1"/>
        <v>#DIV/0!</v>
      </c>
      <c r="G26" s="729" t="e">
        <f t="shared" si="1"/>
        <v>#DIV/0!</v>
      </c>
      <c r="H26" s="729" t="e">
        <f t="shared" si="1"/>
        <v>#DIV/0!</v>
      </c>
      <c r="I26" s="729" t="e">
        <f t="shared" si="1"/>
        <v>#DIV/0!</v>
      </c>
      <c r="J26" s="729" t="e">
        <f t="shared" si="1"/>
        <v>#DIV/0!</v>
      </c>
      <c r="K26" s="729" t="e">
        <f t="shared" si="1"/>
        <v>#DIV/0!</v>
      </c>
      <c r="L26" s="729" t="e">
        <f t="shared" si="1"/>
        <v>#DIV/0!</v>
      </c>
    </row>
    <row r="27" spans="1:12" s="196" customFormat="1" ht="16.5" thickTop="1">
      <c r="A27" s="176"/>
      <c r="B27" s="39"/>
      <c r="C27" s="236"/>
      <c r="D27" s="730"/>
      <c r="E27" s="730"/>
      <c r="F27" s="730"/>
      <c r="G27" s="730"/>
      <c r="H27" s="730"/>
      <c r="I27" s="730"/>
      <c r="J27" s="730"/>
      <c r="K27" s="730"/>
      <c r="L27" s="730"/>
    </row>
    <row r="28" spans="1:12" s="196" customFormat="1" ht="16.5" thickBot="1">
      <c r="A28" s="238" t="s">
        <v>194</v>
      </c>
      <c r="B28" s="241">
        <f>SUBTOTAL(109,B3:B27)</f>
        <v>0</v>
      </c>
      <c r="C28" s="240"/>
      <c r="D28" s="729" t="e">
        <f t="shared" ref="D28:L28" si="2">D13+D26</f>
        <v>#DIV/0!</v>
      </c>
      <c r="E28" s="729" t="e">
        <f t="shared" si="2"/>
        <v>#DIV/0!</v>
      </c>
      <c r="F28" s="729" t="e">
        <f t="shared" si="2"/>
        <v>#DIV/0!</v>
      </c>
      <c r="G28" s="729" t="e">
        <f t="shared" si="2"/>
        <v>#DIV/0!</v>
      </c>
      <c r="H28" s="729" t="e">
        <f t="shared" si="2"/>
        <v>#DIV/0!</v>
      </c>
      <c r="I28" s="729" t="e">
        <f t="shared" si="2"/>
        <v>#DIV/0!</v>
      </c>
      <c r="J28" s="729" t="e">
        <f t="shared" si="2"/>
        <v>#DIV/0!</v>
      </c>
      <c r="K28" s="729" t="e">
        <f t="shared" si="2"/>
        <v>#DIV/0!</v>
      </c>
      <c r="L28" s="729" t="e">
        <f t="shared" si="2"/>
        <v>#DIV/0!</v>
      </c>
    </row>
    <row r="29" spans="1:12" ht="15.75" thickTop="1">
      <c r="A29" s="217"/>
    </row>
    <row r="31" spans="1:12" ht="15.75">
      <c r="A31" s="833" t="s">
        <v>581</v>
      </c>
      <c r="B31" s="834"/>
      <c r="C31" s="834"/>
      <c r="D31" s="834"/>
      <c r="E31" s="834"/>
      <c r="F31" s="834"/>
      <c r="G31" s="834"/>
      <c r="H31" s="834"/>
      <c r="I31" s="834"/>
      <c r="J31" s="834"/>
      <c r="K31" s="731"/>
      <c r="L31" s="732"/>
    </row>
    <row r="32" spans="1:12" ht="15.75">
      <c r="A32" s="183" t="s">
        <v>255</v>
      </c>
      <c r="B32" s="620"/>
      <c r="C32" s="871">
        <f>'1'!B20</f>
        <v>0</v>
      </c>
      <c r="D32" s="871">
        <f>C32+1</f>
        <v>1</v>
      </c>
      <c r="E32" s="871">
        <f>D32+1</f>
        <v>2</v>
      </c>
      <c r="F32" s="871">
        <f t="shared" ref="F32:J32" si="3">E32+1</f>
        <v>3</v>
      </c>
      <c r="G32" s="871">
        <f t="shared" si="3"/>
        <v>4</v>
      </c>
      <c r="H32" s="871">
        <f t="shared" si="3"/>
        <v>5</v>
      </c>
      <c r="I32" s="871">
        <f t="shared" si="3"/>
        <v>6</v>
      </c>
      <c r="J32" s="871">
        <f t="shared" si="3"/>
        <v>7</v>
      </c>
      <c r="K32" s="731"/>
    </row>
    <row r="33" spans="1:11" ht="15.75">
      <c r="A33" s="183"/>
      <c r="B33" s="658" t="s">
        <v>582</v>
      </c>
      <c r="C33" s="659"/>
      <c r="D33" s="733">
        <f>Financials!D20</f>
        <v>0</v>
      </c>
      <c r="E33" s="733">
        <f>Financials!E20</f>
        <v>0</v>
      </c>
      <c r="F33" s="733">
        <f>Financials!F20</f>
        <v>0</v>
      </c>
      <c r="G33" s="733">
        <f>Financials!G20</f>
        <v>0</v>
      </c>
      <c r="H33" s="733">
        <f>Financials!H20</f>
        <v>0</v>
      </c>
      <c r="I33" s="733">
        <f>Financials!I20</f>
        <v>0</v>
      </c>
      <c r="J33" s="733">
        <f>Financials!J20</f>
        <v>0</v>
      </c>
      <c r="K33" s="731"/>
    </row>
    <row r="34" spans="1:11" ht="15.75">
      <c r="A34" s="196" t="s">
        <v>258</v>
      </c>
      <c r="C34" s="39" t="e">
        <f>E28</f>
        <v>#DIV/0!</v>
      </c>
      <c r="D34" s="39" t="e">
        <f>Table17[[#This Row],[Column3]]*(100%+D$33)</f>
        <v>#DIV/0!</v>
      </c>
      <c r="E34" s="39" t="e">
        <f>Table17[[#This Row],[Column4]]*(100%+E$33)</f>
        <v>#DIV/0!</v>
      </c>
      <c r="F34" s="39" t="e">
        <f>Table17[[#This Row],[Column5]]*(100%+F$33)</f>
        <v>#DIV/0!</v>
      </c>
      <c r="G34" s="39" t="e">
        <f>Table17[[#This Row],[Column6]]*(100%+G$33)</f>
        <v>#DIV/0!</v>
      </c>
      <c r="H34" s="39" t="e">
        <f>Table17[[#This Row],[Column7]]*(100%+H$33)</f>
        <v>#DIV/0!</v>
      </c>
      <c r="I34" s="39" t="e">
        <f>Table17[[#This Row],[Column8]]*(100%+I$33)</f>
        <v>#DIV/0!</v>
      </c>
      <c r="J34" s="39" t="e">
        <f>Table17[[#This Row],[Column9]]*(100%+J$33)</f>
        <v>#DIV/0!</v>
      </c>
      <c r="K34" s="731"/>
    </row>
    <row r="35" spans="1:11" ht="15.75">
      <c r="A35" s="196" t="s">
        <v>259</v>
      </c>
      <c r="C35" s="39" t="e">
        <f>F28</f>
        <v>#DIV/0!</v>
      </c>
      <c r="D35" s="39" t="e">
        <f>Table17[[#This Row],[Column3]]*(100%+D$33)</f>
        <v>#DIV/0!</v>
      </c>
      <c r="E35" s="39" t="e">
        <f>Table17[[#This Row],[Column4]]*(100%+E$33)</f>
        <v>#DIV/0!</v>
      </c>
      <c r="F35" s="39" t="e">
        <f>Table17[[#This Row],[Column5]]*(100%+F$33)</f>
        <v>#DIV/0!</v>
      </c>
      <c r="G35" s="39" t="e">
        <f>Table17[[#This Row],[Column6]]*(100%+G$33)</f>
        <v>#DIV/0!</v>
      </c>
      <c r="H35" s="39" t="e">
        <f>Table17[[#This Row],[Column7]]*(100%+H$33)</f>
        <v>#DIV/0!</v>
      </c>
      <c r="I35" s="39" t="e">
        <f>Table17[[#This Row],[Column8]]*(100%+I$33)</f>
        <v>#DIV/0!</v>
      </c>
      <c r="J35" s="39" t="e">
        <f>Table17[[#This Row],[Column9]]*(100%+J$33)</f>
        <v>#DIV/0!</v>
      </c>
      <c r="K35" s="731"/>
    </row>
    <row r="36" spans="1:11" ht="15.75">
      <c r="A36" s="196" t="s">
        <v>260</v>
      </c>
      <c r="C36" s="39" t="e">
        <f>G28</f>
        <v>#DIV/0!</v>
      </c>
      <c r="D36" s="39" t="e">
        <f>Table17[[#This Row],[Column3]]*(100%+D$33)</f>
        <v>#DIV/0!</v>
      </c>
      <c r="E36" s="39" t="e">
        <f>Table17[[#This Row],[Column4]]*(100%+E$33)</f>
        <v>#DIV/0!</v>
      </c>
      <c r="F36" s="39" t="e">
        <f>Table17[[#This Row],[Column5]]*(100%+F$33)</f>
        <v>#DIV/0!</v>
      </c>
      <c r="G36" s="39" t="e">
        <f>Table17[[#This Row],[Column6]]*(100%+G$33)</f>
        <v>#DIV/0!</v>
      </c>
      <c r="H36" s="39" t="e">
        <f>Table17[[#This Row],[Column7]]*(100%+H$33)</f>
        <v>#DIV/0!</v>
      </c>
      <c r="I36" s="39" t="e">
        <f>Table17[[#This Row],[Column8]]*(100%+I$33)</f>
        <v>#DIV/0!</v>
      </c>
      <c r="J36" s="39" t="e">
        <f>Table17[[#This Row],[Column9]]*(100%+J$33)</f>
        <v>#DIV/0!</v>
      </c>
      <c r="K36" s="731"/>
    </row>
    <row r="37" spans="1:11" ht="15.75">
      <c r="A37" s="196" t="s">
        <v>261</v>
      </c>
      <c r="C37" s="39" t="e">
        <f>H28</f>
        <v>#DIV/0!</v>
      </c>
      <c r="D37" s="39" t="e">
        <f>Table17[[#This Row],[Column3]]*(100%+D$33)</f>
        <v>#DIV/0!</v>
      </c>
      <c r="E37" s="39" t="e">
        <f>Table17[[#This Row],[Column4]]*(100%+E$33)</f>
        <v>#DIV/0!</v>
      </c>
      <c r="F37" s="39" t="e">
        <f>Table17[[#This Row],[Column5]]*(100%+F$33)</f>
        <v>#DIV/0!</v>
      </c>
      <c r="G37" s="39" t="e">
        <f>Table17[[#This Row],[Column6]]*(100%+G$33)</f>
        <v>#DIV/0!</v>
      </c>
      <c r="H37" s="39" t="e">
        <f>Table17[[#This Row],[Column7]]*(100%+H$33)</f>
        <v>#DIV/0!</v>
      </c>
      <c r="I37" s="39" t="e">
        <f>Table17[[#This Row],[Column8]]*(100%+I$33)</f>
        <v>#DIV/0!</v>
      </c>
      <c r="J37" s="39" t="e">
        <f>Table17[[#This Row],[Column9]]*(100%+J$33)</f>
        <v>#DIV/0!</v>
      </c>
      <c r="K37" s="731"/>
    </row>
    <row r="38" spans="1:11" ht="15.75">
      <c r="A38" s="196" t="s">
        <v>262</v>
      </c>
      <c r="C38" s="39" t="e">
        <f>I28</f>
        <v>#DIV/0!</v>
      </c>
      <c r="D38" s="39" t="e">
        <f>Table17[[#This Row],[Column3]]*(100%+D$33)</f>
        <v>#DIV/0!</v>
      </c>
      <c r="E38" s="39" t="e">
        <f>Table17[[#This Row],[Column4]]*(100%+E$33)</f>
        <v>#DIV/0!</v>
      </c>
      <c r="F38" s="39" t="e">
        <f>Table17[[#This Row],[Column5]]*(100%+F$33)</f>
        <v>#DIV/0!</v>
      </c>
      <c r="G38" s="39" t="e">
        <f>Table17[[#This Row],[Column6]]*(100%+G$33)</f>
        <v>#DIV/0!</v>
      </c>
      <c r="H38" s="39" t="e">
        <f>Table17[[#This Row],[Column7]]*(100%+H$33)</f>
        <v>#DIV/0!</v>
      </c>
      <c r="I38" s="39" t="e">
        <f>Table17[[#This Row],[Column8]]*(100%+I$33)</f>
        <v>#DIV/0!</v>
      </c>
      <c r="J38" s="39" t="e">
        <f>Table17[[#This Row],[Column9]]*(100%+J$33)</f>
        <v>#DIV/0!</v>
      </c>
      <c r="K38" s="731"/>
    </row>
    <row r="39" spans="1:11" ht="15.75">
      <c r="A39" s="196" t="s">
        <v>579</v>
      </c>
      <c r="C39" s="39" t="e">
        <f>J28</f>
        <v>#DIV/0!</v>
      </c>
      <c r="D39" s="39" t="e">
        <f>Table17[[#This Row],[Column3]]*(100%+D$33)</f>
        <v>#DIV/0!</v>
      </c>
      <c r="E39" s="39" t="e">
        <f>Table17[[#This Row],[Column4]]*(100%+E$33)</f>
        <v>#DIV/0!</v>
      </c>
      <c r="F39" s="39" t="e">
        <f>Table17[[#This Row],[Column5]]*(100%+F$33)</f>
        <v>#DIV/0!</v>
      </c>
      <c r="G39" s="39" t="e">
        <f>Table17[[#This Row],[Column6]]*(100%+G$33)</f>
        <v>#DIV/0!</v>
      </c>
      <c r="H39" s="39" t="e">
        <f>Table17[[#This Row],[Column7]]*(100%+H$33)</f>
        <v>#DIV/0!</v>
      </c>
      <c r="I39" s="39" t="e">
        <f>Table17[[#This Row],[Column8]]*(100%+I$33)</f>
        <v>#DIV/0!</v>
      </c>
      <c r="J39" s="39" t="e">
        <f>Table17[[#This Row],[Column9]]*(100%+J$33)</f>
        <v>#DIV/0!</v>
      </c>
      <c r="K39" s="731"/>
    </row>
    <row r="40" spans="1:11" ht="15.75">
      <c r="A40" s="196" t="s">
        <v>580</v>
      </c>
      <c r="C40" s="39" t="e">
        <f>K28</f>
        <v>#DIV/0!</v>
      </c>
      <c r="D40" s="39" t="e">
        <f>Table17[[#This Row],[Column3]]*(100%+D$33)</f>
        <v>#DIV/0!</v>
      </c>
      <c r="E40" s="39" t="e">
        <f>Table17[[#This Row],[Column4]]*(100%+E$33)</f>
        <v>#DIV/0!</v>
      </c>
      <c r="F40" s="39" t="e">
        <f>Table17[[#This Row],[Column5]]*(100%+F$33)</f>
        <v>#DIV/0!</v>
      </c>
      <c r="G40" s="39" t="e">
        <f>Table17[[#This Row],[Column6]]*(100%+G$33)</f>
        <v>#DIV/0!</v>
      </c>
      <c r="H40" s="39" t="e">
        <f>Table17[[#This Row],[Column7]]*(100%+H$33)</f>
        <v>#DIV/0!</v>
      </c>
      <c r="I40" s="39" t="e">
        <f>Table17[[#This Row],[Column8]]*(100%+I$33)</f>
        <v>#DIV/0!</v>
      </c>
      <c r="J40" s="39" t="e">
        <f>Table17[[#This Row],[Column9]]*(100%+J$33)</f>
        <v>#DIV/0!</v>
      </c>
      <c r="K40" s="731"/>
    </row>
    <row r="41" spans="1:11" ht="15.75">
      <c r="A41" s="196" t="s">
        <v>263</v>
      </c>
      <c r="C41" s="39" t="e">
        <f>L28</f>
        <v>#DIV/0!</v>
      </c>
      <c r="D41" s="39" t="e">
        <f>Table17[[#This Row],[Column3]]*(100%+D$33)</f>
        <v>#DIV/0!</v>
      </c>
      <c r="E41" s="39" t="e">
        <f>Table17[[#This Row],[Column4]]*(100%+E$33)</f>
        <v>#DIV/0!</v>
      </c>
      <c r="F41" s="39" t="e">
        <f>Table17[[#This Row],[Column5]]*(100%+F$33)</f>
        <v>#DIV/0!</v>
      </c>
      <c r="G41" s="39" t="e">
        <f>Table17[[#This Row],[Column6]]*(100%+G$33)</f>
        <v>#DIV/0!</v>
      </c>
      <c r="H41" s="39" t="e">
        <f>Table17[[#This Row],[Column7]]*(100%+H$33)</f>
        <v>#DIV/0!</v>
      </c>
      <c r="I41" s="39" t="e">
        <f>Table17[[#This Row],[Column8]]*(100%+I$33)</f>
        <v>#DIV/0!</v>
      </c>
      <c r="J41" s="39" t="e">
        <f>Table17[[#This Row],[Column9]]*(100%+J$33)</f>
        <v>#DIV/0!</v>
      </c>
      <c r="K41" s="731"/>
    </row>
    <row r="42" spans="1:11" ht="15.75">
      <c r="A42" s="196" t="s">
        <v>194</v>
      </c>
      <c r="C42" s="45" t="e">
        <f t="shared" ref="C42:J42" si="4">SUBTOTAL(109,C34:C41)</f>
        <v>#DIV/0!</v>
      </c>
      <c r="D42" s="45" t="e">
        <f t="shared" si="4"/>
        <v>#DIV/0!</v>
      </c>
      <c r="E42" s="45" t="e">
        <f t="shared" si="4"/>
        <v>#DIV/0!</v>
      </c>
      <c r="F42" s="45" t="e">
        <f t="shared" si="4"/>
        <v>#DIV/0!</v>
      </c>
      <c r="G42" s="45" t="e">
        <f t="shared" si="4"/>
        <v>#DIV/0!</v>
      </c>
      <c r="H42" s="45" t="e">
        <f t="shared" si="4"/>
        <v>#DIV/0!</v>
      </c>
      <c r="I42" s="45" t="e">
        <f t="shared" si="4"/>
        <v>#DIV/0!</v>
      </c>
      <c r="J42" s="45" t="e">
        <f t="shared" si="4"/>
        <v>#DIV/0!</v>
      </c>
      <c r="K42" s="731"/>
    </row>
  </sheetData>
  <sheetProtection password="DA39" sheet="1" objects="1" scenarios="1" selectLockedCells="1"/>
  <mergeCells count="2">
    <mergeCell ref="A1:L1"/>
    <mergeCell ref="A31:J31"/>
  </mergeCells>
  <printOptions horizontalCentered="1"/>
  <pageMargins left="0.25" right="0.25" top="0.75" bottom="0.75" header="0.3" footer="0.3"/>
  <pageSetup scale="77" orientation="landscape" r:id="rId1"/>
  <headerFooter>
    <oddFooter>&amp;L&amp;F&amp;R&amp;A</oddFooter>
  </headerFooter>
  <tableParts count="2">
    <tablePart r:id="rId2"/>
    <tablePart r:id="rId3"/>
  </tableParts>
</worksheet>
</file>

<file path=xl/worksheets/sheet18.xml><?xml version="1.0" encoding="utf-8"?>
<worksheet xmlns="http://schemas.openxmlformats.org/spreadsheetml/2006/main" xmlns:r="http://schemas.openxmlformats.org/officeDocument/2006/relationships">
  <sheetPr>
    <pageSetUpPr fitToPage="1"/>
  </sheetPr>
  <dimension ref="A1:F16"/>
  <sheetViews>
    <sheetView showGridLines="0" workbookViewId="0">
      <selection activeCell="A19" sqref="A19"/>
    </sheetView>
  </sheetViews>
  <sheetFormatPr defaultRowHeight="15"/>
  <cols>
    <col min="1" max="1" width="14.7109375" style="244" bestFit="1" customWidth="1"/>
    <col min="2" max="5" width="13" style="39" customWidth="1"/>
    <col min="6" max="6" width="13" style="236" customWidth="1"/>
    <col min="7" max="16384" width="9.140625" style="176"/>
  </cols>
  <sheetData>
    <row r="1" spans="1:6" ht="16.5" thickBot="1">
      <c r="A1" s="807" t="s">
        <v>583</v>
      </c>
      <c r="B1" s="808"/>
      <c r="C1" s="808"/>
      <c r="D1" s="808"/>
      <c r="E1" s="808"/>
      <c r="F1" s="809"/>
    </row>
    <row r="2" spans="1:6" ht="15.75" thickBot="1">
      <c r="A2" s="621"/>
      <c r="B2" s="253"/>
      <c r="C2" s="253"/>
      <c r="D2" s="253"/>
      <c r="E2" s="253"/>
      <c r="F2" s="254"/>
    </row>
    <row r="3" spans="1:6" ht="15.75">
      <c r="A3" s="535" t="s">
        <v>584</v>
      </c>
      <c r="B3" s="526" t="s">
        <v>278</v>
      </c>
      <c r="C3" s="526" t="s">
        <v>278</v>
      </c>
      <c r="D3" s="526" t="s">
        <v>279</v>
      </c>
      <c r="E3" s="526" t="s">
        <v>279</v>
      </c>
      <c r="F3" s="536" t="s">
        <v>586</v>
      </c>
    </row>
    <row r="4" spans="1:6" ht="15.75">
      <c r="A4" s="537"/>
      <c r="B4" s="538" t="s">
        <v>577</v>
      </c>
      <c r="C4" s="538" t="s">
        <v>582</v>
      </c>
      <c r="D4" s="538" t="s">
        <v>577</v>
      </c>
      <c r="E4" s="538" t="s">
        <v>582</v>
      </c>
      <c r="F4" s="539" t="s">
        <v>587</v>
      </c>
    </row>
    <row r="5" spans="1:6" ht="16.5" thickBot="1">
      <c r="A5" s="540" t="s">
        <v>585</v>
      </c>
      <c r="B5" s="532"/>
      <c r="C5" s="532" t="s">
        <v>189</v>
      </c>
      <c r="D5" s="532"/>
      <c r="E5" s="532" t="s">
        <v>189</v>
      </c>
      <c r="F5" s="541" t="s">
        <v>189</v>
      </c>
    </row>
    <row r="6" spans="1:6">
      <c r="A6" s="244">
        <f>A7-1</f>
        <v>-1</v>
      </c>
      <c r="B6" s="39" t="e">
        <f>'10'!D6*'11'!$C$6</f>
        <v>#DIV/0!</v>
      </c>
      <c r="C6" s="43"/>
      <c r="D6" s="39">
        <f>Comptn.!Z26</f>
        <v>0</v>
      </c>
      <c r="E6" s="43"/>
      <c r="F6" s="43" t="e">
        <f>Table2522[[#This Row],[Column2]]/Table2522[[#This Row],[Column5]]</f>
        <v>#DIV/0!</v>
      </c>
    </row>
    <row r="7" spans="1:6" s="196" customFormat="1" ht="15.75">
      <c r="A7" s="244">
        <f>'1'!B19</f>
        <v>0</v>
      </c>
      <c r="B7" s="39" t="e">
        <f>'10'!C6*'11'!$C$6</f>
        <v>#DIV/0!</v>
      </c>
      <c r="C7" s="43" t="e">
        <f>(Table2522[[#This Row],[Column2]]-B6)/B6</f>
        <v>#DIV/0!</v>
      </c>
      <c r="D7" s="39">
        <f>Comptn.!AA26</f>
        <v>0</v>
      </c>
      <c r="E7" s="43" t="e">
        <f>(Table2522[[#This Row],[Column5]]-D6)/D6</f>
        <v>#DIV/0!</v>
      </c>
      <c r="F7" s="43" t="e">
        <f>Table2522[[#This Row],[Column2]]/Table2522[[#This Row],[Column5]]</f>
        <v>#DIV/0!</v>
      </c>
    </row>
    <row r="8" spans="1:6">
      <c r="A8" s="244">
        <f>A7+1</f>
        <v>1</v>
      </c>
      <c r="B8" s="39" t="e">
        <f>'11'!C$42</f>
        <v>#DIV/0!</v>
      </c>
      <c r="C8" s="43" t="e">
        <f>(Table2522[[#This Row],[Column2]]-B7)/B7</f>
        <v>#DIV/0!</v>
      </c>
      <c r="D8" s="39">
        <f>'13'!O5</f>
        <v>0</v>
      </c>
      <c r="E8" s="43" t="e">
        <f>(Table2522[[#This Row],[Column5]]-D7)/D7</f>
        <v>#DIV/0!</v>
      </c>
      <c r="F8" s="43" t="e">
        <f>Table2522[[#This Row],[Column2]]/Table2522[[#This Row],[Column5]]</f>
        <v>#DIV/0!</v>
      </c>
    </row>
    <row r="9" spans="1:6">
      <c r="A9" s="244">
        <f>A8+1</f>
        <v>2</v>
      </c>
      <c r="B9" s="39" t="e">
        <f>'11'!D$42</f>
        <v>#DIV/0!</v>
      </c>
      <c r="C9" s="43" t="e">
        <f>(Table2522[[#This Row],[Column2]]-B8)/B8</f>
        <v>#DIV/0!</v>
      </c>
      <c r="D9" s="39">
        <f>'13'!N13</f>
        <v>0</v>
      </c>
      <c r="E9" s="43" t="e">
        <f>(Table2522[[#This Row],[Column5]]-D8)/D8</f>
        <v>#DIV/0!</v>
      </c>
      <c r="F9" s="43" t="e">
        <f>Table2522[[#This Row],[Column2]]/Table2522[[#This Row],[Column5]]</f>
        <v>#DIV/0!</v>
      </c>
    </row>
    <row r="10" spans="1:6">
      <c r="A10" s="244">
        <f t="shared" ref="A10:A15" si="0">A9+1</f>
        <v>3</v>
      </c>
      <c r="B10" s="39" t="e">
        <f>'11'!E$42</f>
        <v>#DIV/0!</v>
      </c>
      <c r="C10" s="43" t="e">
        <f>(Table2522[[#This Row],[Column2]]-B9)/B9</f>
        <v>#DIV/0!</v>
      </c>
      <c r="D10" s="39">
        <f>'13'!N26</f>
        <v>0</v>
      </c>
      <c r="E10" s="43" t="e">
        <f>(Table2522[[#This Row],[Column5]]-D9)/D9</f>
        <v>#DIV/0!</v>
      </c>
      <c r="F10" s="43" t="e">
        <f>Table2522[[#This Row],[Column2]]/Table2522[[#This Row],[Column5]]</f>
        <v>#DIV/0!</v>
      </c>
    </row>
    <row r="11" spans="1:6">
      <c r="A11" s="244">
        <f t="shared" si="0"/>
        <v>4</v>
      </c>
      <c r="B11" s="522" t="e">
        <f>'11'!F$42</f>
        <v>#DIV/0!</v>
      </c>
      <c r="C11" s="695" t="e">
        <f>(Table2522[[#This Row],[Column2]]-B10)/B10</f>
        <v>#DIV/0!</v>
      </c>
      <c r="D11" s="522">
        <f>'13'!N40</f>
        <v>0</v>
      </c>
      <c r="E11" s="695" t="e">
        <f>(Table2522[[#This Row],[Column5]]-D10)/D10</f>
        <v>#DIV/0!</v>
      </c>
      <c r="F11" s="695" t="e">
        <f>Table2522[[#This Row],[Column2]]/Table2522[[#This Row],[Column5]]</f>
        <v>#DIV/0!</v>
      </c>
    </row>
    <row r="12" spans="1:6">
      <c r="A12" s="244">
        <f t="shared" si="0"/>
        <v>5</v>
      </c>
      <c r="B12" s="39" t="e">
        <f>'11'!G42</f>
        <v>#DIV/0!</v>
      </c>
      <c r="C12" s="43" t="e">
        <f>(Table2522[[#This Row],[Column2]]-B11)/B11</f>
        <v>#DIV/0!</v>
      </c>
      <c r="D12" s="39">
        <f>'13'!N52</f>
        <v>0</v>
      </c>
      <c r="E12" s="43" t="e">
        <f>(Table2522[[#This Row],[Column5]]-D11)/D11</f>
        <v>#DIV/0!</v>
      </c>
      <c r="F12" s="43" t="e">
        <f>Table2522[[#This Row],[Column2]]/Table2522[[#This Row],[Column5]]</f>
        <v>#DIV/0!</v>
      </c>
    </row>
    <row r="13" spans="1:6">
      <c r="A13" s="244">
        <f t="shared" si="0"/>
        <v>6</v>
      </c>
      <c r="B13" s="39" t="e">
        <f>'11'!H42</f>
        <v>#DIV/0!</v>
      </c>
      <c r="C13" s="43" t="e">
        <f>(Table2522[[#This Row],[Column2]]-B12)/B12</f>
        <v>#DIV/0!</v>
      </c>
      <c r="D13" s="39">
        <f>'13'!O59</f>
        <v>0</v>
      </c>
      <c r="E13" s="43" t="e">
        <f>(Table2522[[#This Row],[Column5]]-D12)/D12</f>
        <v>#DIV/0!</v>
      </c>
      <c r="F13" s="43" t="e">
        <f>Table2522[[#This Row],[Column2]]/Table2522[[#This Row],[Column5]]</f>
        <v>#DIV/0!</v>
      </c>
    </row>
    <row r="14" spans="1:6" s="196" customFormat="1" ht="15.75">
      <c r="A14" s="244">
        <f t="shared" si="0"/>
        <v>7</v>
      </c>
      <c r="B14" s="39" t="e">
        <f>'11'!I42</f>
        <v>#DIV/0!</v>
      </c>
      <c r="C14" s="43" t="e">
        <f>(Table2522[[#This Row],[Column2]]-B13)/B13</f>
        <v>#DIV/0!</v>
      </c>
      <c r="D14" s="39">
        <f>D13</f>
        <v>0</v>
      </c>
      <c r="E14" s="43" t="e">
        <f>(Table2522[[#This Row],[Column5]]-D13)/D13</f>
        <v>#DIV/0!</v>
      </c>
      <c r="F14" s="43" t="e">
        <f>Table2522[[#This Row],[Column2]]/Table2522[[#This Row],[Column5]]</f>
        <v>#DIV/0!</v>
      </c>
    </row>
    <row r="15" spans="1:6">
      <c r="A15" s="244">
        <f t="shared" si="0"/>
        <v>8</v>
      </c>
      <c r="B15" s="39" t="e">
        <f>'11'!J42</f>
        <v>#DIV/0!</v>
      </c>
      <c r="C15" s="43" t="e">
        <f>(Table2522[[#This Row],[Column2]]-B14)/B14</f>
        <v>#DIV/0!</v>
      </c>
      <c r="D15" s="39">
        <f>D14</f>
        <v>0</v>
      </c>
      <c r="E15" s="43" t="e">
        <f>(Table2522[[#This Row],[Column5]]-D14)/D14</f>
        <v>#DIV/0!</v>
      </c>
      <c r="F15" s="43" t="e">
        <f>Table2522[[#This Row],[Column2]]/Table2522[[#This Row],[Column5]]</f>
        <v>#DIV/0!</v>
      </c>
    </row>
    <row r="16" spans="1:6">
      <c r="A16" s="624" t="s">
        <v>588</v>
      </c>
      <c r="B16" s="660">
        <f>'1'!B21</f>
        <v>0</v>
      </c>
      <c r="C16" s="622"/>
      <c r="D16" s="622"/>
      <c r="E16" s="622"/>
      <c r="F16" s="623"/>
    </row>
  </sheetData>
  <sheetProtection password="DA39" sheet="1" objects="1" scenarios="1" selectLockedCells="1"/>
  <mergeCells count="1">
    <mergeCell ref="A1:F1"/>
  </mergeCells>
  <printOptions horizontalCentered="1"/>
  <pageMargins left="0.25" right="0.25" top="0.75" bottom="0.75" header="0.3" footer="0.3"/>
  <pageSetup orientation="landscape" r:id="rId1"/>
  <headerFooter>
    <oddFooter>&amp;L&amp;F&amp;R&amp;A</oddFooter>
  </headerFooter>
  <tableParts count="1">
    <tablePart r:id="rId2"/>
  </tableParts>
</worksheet>
</file>

<file path=xl/worksheets/sheet19.xml><?xml version="1.0" encoding="utf-8"?>
<worksheet xmlns="http://schemas.openxmlformats.org/spreadsheetml/2006/main" xmlns:r="http://schemas.openxmlformats.org/officeDocument/2006/relationships">
  <sheetPr>
    <pageSetUpPr fitToPage="1"/>
  </sheetPr>
  <dimension ref="A1:X63"/>
  <sheetViews>
    <sheetView showGridLines="0" workbookViewId="0">
      <selection activeCell="Q9" sqref="Q9"/>
    </sheetView>
  </sheetViews>
  <sheetFormatPr defaultRowHeight="15.75"/>
  <cols>
    <col min="1" max="1" width="33.85546875" style="235" customWidth="1"/>
    <col min="2" max="2" width="10" style="235" customWidth="1"/>
    <col min="3" max="3" width="11.7109375" style="196" customWidth="1"/>
    <col min="4" max="4" width="7" style="176" bestFit="1" customWidth="1"/>
    <col min="5" max="5" width="9.28515625" style="176" bestFit="1" customWidth="1"/>
    <col min="6" max="6" width="8.42578125" style="176" bestFit="1" customWidth="1"/>
    <col min="7" max="7" width="7.28515625" style="176" hidden="1" customWidth="1"/>
    <col min="8" max="8" width="11" style="176" bestFit="1" customWidth="1"/>
    <col min="9" max="9" width="8.5703125" style="176" bestFit="1" customWidth="1"/>
    <col min="10" max="10" width="11.85546875" style="176" bestFit="1" customWidth="1"/>
    <col min="11" max="11" width="10.28515625" style="236" bestFit="1" customWidth="1"/>
    <col min="12" max="12" width="9.7109375" style="39" bestFit="1" customWidth="1"/>
    <col min="13" max="13" width="9.28515625" style="176" hidden="1" customWidth="1"/>
    <col min="14" max="14" width="14.28515625" style="39" bestFit="1" customWidth="1"/>
    <col min="15" max="15" width="10" style="39" bestFit="1" customWidth="1"/>
    <col min="16" max="16" width="9.28515625" style="43" bestFit="1" customWidth="1"/>
    <col min="17" max="24" width="9.140625" style="542"/>
    <col min="25" max="16384" width="9.140625" style="176"/>
  </cols>
  <sheetData>
    <row r="1" spans="1:24" ht="16.5" thickBot="1">
      <c r="A1" s="807" t="s">
        <v>201</v>
      </c>
      <c r="B1" s="808"/>
      <c r="C1" s="808"/>
      <c r="D1" s="808"/>
      <c r="E1" s="808"/>
      <c r="F1" s="808"/>
      <c r="G1" s="808"/>
      <c r="H1" s="808"/>
      <c r="I1" s="808"/>
      <c r="J1" s="808"/>
      <c r="K1" s="808"/>
      <c r="L1" s="808"/>
      <c r="M1" s="808"/>
      <c r="N1" s="808"/>
      <c r="O1" s="808"/>
      <c r="P1" s="809"/>
    </row>
    <row r="2" spans="1:24" ht="16.5" thickBot="1">
      <c r="A2" s="228"/>
      <c r="B2" s="872"/>
      <c r="C2" s="229"/>
      <c r="D2" s="229"/>
      <c r="E2" s="229"/>
      <c r="F2" s="229"/>
      <c r="G2" s="229"/>
      <c r="H2" s="229"/>
      <c r="I2" s="229"/>
      <c r="J2" s="229"/>
      <c r="K2" s="230"/>
      <c r="L2" s="231"/>
      <c r="M2" s="229"/>
      <c r="N2" s="231"/>
      <c r="O2" s="231"/>
      <c r="P2" s="232"/>
    </row>
    <row r="3" spans="1:24">
      <c r="A3" s="233" t="s">
        <v>0</v>
      </c>
      <c r="B3" s="873" t="s">
        <v>282</v>
      </c>
      <c r="C3" s="178" t="s">
        <v>202</v>
      </c>
      <c r="D3" s="835" t="s">
        <v>203</v>
      </c>
      <c r="E3" s="836"/>
      <c r="F3" s="836"/>
      <c r="G3" s="836"/>
      <c r="H3" s="836"/>
      <c r="I3" s="837"/>
      <c r="J3" s="178" t="s">
        <v>204</v>
      </c>
      <c r="K3" s="835" t="s">
        <v>205</v>
      </c>
      <c r="L3" s="836"/>
      <c r="M3" s="836"/>
      <c r="N3" s="836"/>
      <c r="O3" s="837"/>
      <c r="P3" s="234" t="s">
        <v>204</v>
      </c>
    </row>
    <row r="4" spans="1:24">
      <c r="A4" s="687"/>
      <c r="B4" s="874"/>
      <c r="C4" s="688" t="s">
        <v>206</v>
      </c>
      <c r="D4" s="688" t="s">
        <v>207</v>
      </c>
      <c r="E4" s="688" t="s">
        <v>208</v>
      </c>
      <c r="F4" s="688" t="s">
        <v>42</v>
      </c>
      <c r="G4" s="688" t="s">
        <v>189</v>
      </c>
      <c r="H4" s="688" t="s">
        <v>209</v>
      </c>
      <c r="I4" s="688" t="s">
        <v>210</v>
      </c>
      <c r="J4" s="688" t="s">
        <v>189</v>
      </c>
      <c r="K4" s="689" t="s">
        <v>211</v>
      </c>
      <c r="L4" s="690" t="s">
        <v>38</v>
      </c>
      <c r="M4" s="688" t="s">
        <v>189</v>
      </c>
      <c r="N4" s="690" t="s">
        <v>209</v>
      </c>
      <c r="O4" s="690" t="s">
        <v>210</v>
      </c>
      <c r="P4" s="691" t="s">
        <v>189</v>
      </c>
    </row>
    <row r="5" spans="1:24" ht="16.5" thickBot="1">
      <c r="A5" s="237" t="s">
        <v>613</v>
      </c>
      <c r="B5" s="237">
        <f>'1'!B20</f>
        <v>0</v>
      </c>
      <c r="C5" s="238"/>
      <c r="D5" s="238"/>
      <c r="E5" s="238"/>
      <c r="F5" s="238"/>
      <c r="G5" s="238"/>
      <c r="H5" s="238"/>
      <c r="I5" s="238">
        <f>ROUND('8'!B22,0)</f>
        <v>0</v>
      </c>
      <c r="J5" s="238"/>
      <c r="K5" s="240"/>
      <c r="L5" s="241"/>
      <c r="M5" s="698" t="e">
        <f>'11'!C6</f>
        <v>#DIV/0!</v>
      </c>
      <c r="N5" s="241"/>
      <c r="O5" s="241">
        <f>ROUND('8'!E22,0)</f>
        <v>0</v>
      </c>
      <c r="P5" s="239"/>
    </row>
    <row r="6" spans="1:24" ht="16.5" thickTop="1">
      <c r="A6" s="235" t="s">
        <v>614</v>
      </c>
    </row>
    <row r="7" spans="1:24">
      <c r="A7" s="235">
        <f>Comptn.!A57</f>
        <v>0</v>
      </c>
      <c r="C7" s="756">
        <f>Comptn.!B57</f>
        <v>0</v>
      </c>
      <c r="D7" s="176">
        <f>Comptn.!E57</f>
        <v>0</v>
      </c>
      <c r="E7" s="242"/>
      <c r="F7" s="39">
        <f>D7+E7</f>
        <v>0</v>
      </c>
      <c r="G7" s="665">
        <f>Comptn.!C57</f>
        <v>0</v>
      </c>
      <c r="H7" s="686">
        <f>F7*G7</f>
        <v>0</v>
      </c>
      <c r="K7" s="236">
        <f>Comptn.!G57</f>
        <v>0</v>
      </c>
      <c r="L7" s="39">
        <f>K7*F7</f>
        <v>0</v>
      </c>
      <c r="M7" s="665">
        <f>G7</f>
        <v>0</v>
      </c>
      <c r="N7" s="39">
        <f>L7*M7</f>
        <v>0</v>
      </c>
    </row>
    <row r="8" spans="1:24">
      <c r="A8" s="235">
        <f>Comptn.!A58</f>
        <v>0</v>
      </c>
      <c r="C8" s="756">
        <f>Comptn.!B58</f>
        <v>0</v>
      </c>
      <c r="D8" s="176">
        <f>Comptn.!E58</f>
        <v>0</v>
      </c>
      <c r="E8" s="242"/>
      <c r="F8" s="39">
        <f t="shared" ref="F8:F12" si="0">D8+E8</f>
        <v>0</v>
      </c>
      <c r="G8" s="665">
        <f>Comptn.!C58</f>
        <v>0</v>
      </c>
      <c r="H8" s="686">
        <f t="shared" ref="H8:H12" si="1">F8*G8</f>
        <v>0</v>
      </c>
      <c r="K8" s="236">
        <f>Comptn.!G58</f>
        <v>0</v>
      </c>
      <c r="L8" s="39">
        <f t="shared" ref="L8:L12" si="2">K8*F8</f>
        <v>0</v>
      </c>
      <c r="M8" s="665">
        <f t="shared" ref="M8:M12" si="3">G8</f>
        <v>0</v>
      </c>
      <c r="N8" s="39">
        <f t="shared" ref="N8:N12" si="4">L8*M8</f>
        <v>0</v>
      </c>
    </row>
    <row r="9" spans="1:24">
      <c r="A9" s="235">
        <f>Comptn.!A59</f>
        <v>0</v>
      </c>
      <c r="C9" s="756">
        <f>Comptn.!B59</f>
        <v>0</v>
      </c>
      <c r="D9" s="176">
        <f>Comptn.!E59</f>
        <v>0</v>
      </c>
      <c r="E9" s="242"/>
      <c r="F9" s="39">
        <f t="shared" si="0"/>
        <v>0</v>
      </c>
      <c r="G9" s="665">
        <f>Comptn.!C59</f>
        <v>0</v>
      </c>
      <c r="H9" s="686">
        <f t="shared" si="1"/>
        <v>0</v>
      </c>
      <c r="K9" s="236">
        <f>Comptn.!G59</f>
        <v>0</v>
      </c>
      <c r="L9" s="39">
        <f t="shared" si="2"/>
        <v>0</v>
      </c>
      <c r="M9" s="665">
        <f t="shared" si="3"/>
        <v>0</v>
      </c>
      <c r="N9" s="39">
        <f t="shared" si="4"/>
        <v>0</v>
      </c>
    </row>
    <row r="10" spans="1:24">
      <c r="A10" s="235">
        <f>Comptn.!A60</f>
        <v>0</v>
      </c>
      <c r="C10" s="756">
        <f>Comptn.!B60</f>
        <v>0</v>
      </c>
      <c r="D10" s="176">
        <f>Comptn.!E60</f>
        <v>0</v>
      </c>
      <c r="E10" s="242"/>
      <c r="F10" s="39">
        <f t="shared" si="0"/>
        <v>0</v>
      </c>
      <c r="G10" s="665">
        <f>Comptn.!C60</f>
        <v>0</v>
      </c>
      <c r="H10" s="686">
        <f t="shared" si="1"/>
        <v>0</v>
      </c>
      <c r="K10" s="236">
        <f>Comptn.!G60</f>
        <v>0</v>
      </c>
      <c r="L10" s="39">
        <f t="shared" si="2"/>
        <v>0</v>
      </c>
      <c r="M10" s="665">
        <f t="shared" si="3"/>
        <v>0</v>
      </c>
      <c r="N10" s="39">
        <f t="shared" si="4"/>
        <v>0</v>
      </c>
    </row>
    <row r="11" spans="1:24">
      <c r="A11" s="235">
        <f>Comptn.!A61</f>
        <v>0</v>
      </c>
      <c r="C11" s="756">
        <f>Comptn.!B61</f>
        <v>0</v>
      </c>
      <c r="D11" s="176">
        <f>Comptn.!E61</f>
        <v>0</v>
      </c>
      <c r="E11" s="242"/>
      <c r="F11" s="39">
        <f t="shared" si="0"/>
        <v>0</v>
      </c>
      <c r="G11" s="665">
        <f>Comptn.!C61</f>
        <v>0</v>
      </c>
      <c r="H11" s="686">
        <f t="shared" si="1"/>
        <v>0</v>
      </c>
      <c r="K11" s="236">
        <f>Comptn.!G61</f>
        <v>0</v>
      </c>
      <c r="L11" s="39">
        <f t="shared" si="2"/>
        <v>0</v>
      </c>
      <c r="M11" s="665">
        <f t="shared" si="3"/>
        <v>0</v>
      </c>
      <c r="N11" s="39">
        <f t="shared" si="4"/>
        <v>0</v>
      </c>
    </row>
    <row r="12" spans="1:24">
      <c r="A12" s="235">
        <f>Comptn.!A62</f>
        <v>0</v>
      </c>
      <c r="C12" s="756">
        <f>Comptn.!B62</f>
        <v>0</v>
      </c>
      <c r="D12" s="176">
        <f>Comptn.!E62</f>
        <v>0</v>
      </c>
      <c r="E12" s="242"/>
      <c r="F12" s="39">
        <f t="shared" si="0"/>
        <v>0</v>
      </c>
      <c r="G12" s="665">
        <f>Comptn.!C62</f>
        <v>0</v>
      </c>
      <c r="H12" s="686">
        <f t="shared" si="1"/>
        <v>0</v>
      </c>
      <c r="K12" s="236">
        <f>Comptn.!G62</f>
        <v>0</v>
      </c>
      <c r="L12" s="39">
        <f t="shared" si="2"/>
        <v>0</v>
      </c>
      <c r="M12" s="665">
        <f t="shared" si="3"/>
        <v>0</v>
      </c>
      <c r="N12" s="39">
        <f t="shared" si="4"/>
        <v>0</v>
      </c>
    </row>
    <row r="13" spans="1:24" s="196" customFormat="1" ht="16.5" thickBot="1">
      <c r="A13" s="237" t="s">
        <v>615</v>
      </c>
      <c r="B13" s="237">
        <f>B5+1</f>
        <v>1</v>
      </c>
      <c r="C13" s="268"/>
      <c r="D13" s="238">
        <f>SUBTOTAL(109,D7:D12)</f>
        <v>0</v>
      </c>
      <c r="E13" s="238">
        <f t="shared" ref="E13:F13" si="5">SUBTOTAL(109,E7:E12)</f>
        <v>0</v>
      </c>
      <c r="F13" s="238">
        <f t="shared" si="5"/>
        <v>0</v>
      </c>
      <c r="G13" s="238"/>
      <c r="H13" s="238">
        <f>SUBTOTAL(109,H7:H12)+I5</f>
        <v>0</v>
      </c>
      <c r="I13" s="238">
        <f>I5+F13</f>
        <v>0</v>
      </c>
      <c r="J13" s="239" t="e">
        <f>(H13-I5)/I5</f>
        <v>#DIV/0!</v>
      </c>
      <c r="K13" s="240"/>
      <c r="L13" s="241">
        <f>SUBTOTAL(109,L6:L12)</f>
        <v>0</v>
      </c>
      <c r="M13" s="697"/>
      <c r="N13" s="241">
        <f>SUBTOTAL(109,N6:N12)+O5</f>
        <v>0</v>
      </c>
      <c r="O13" s="241">
        <f>O5+L13</f>
        <v>0</v>
      </c>
      <c r="P13" s="239" t="e">
        <f>(N13-O5)/O5</f>
        <v>#DIV/0!</v>
      </c>
      <c r="Q13" s="543"/>
      <c r="R13" s="543"/>
      <c r="S13" s="543"/>
      <c r="T13" s="543"/>
      <c r="U13" s="543"/>
      <c r="V13" s="543"/>
      <c r="W13" s="543"/>
      <c r="X13" s="543"/>
    </row>
    <row r="14" spans="1:24" s="196" customFormat="1" ht="16.5" thickTop="1">
      <c r="A14" s="235"/>
      <c r="B14" s="235"/>
      <c r="C14" s="176"/>
      <c r="D14" s="176"/>
      <c r="E14" s="242"/>
      <c r="F14" s="176"/>
      <c r="G14" s="176"/>
      <c r="H14" s="176"/>
      <c r="I14" s="176"/>
      <c r="J14" s="43"/>
      <c r="K14" s="236"/>
      <c r="L14" s="39"/>
      <c r="M14" s="242"/>
      <c r="N14" s="39"/>
      <c r="O14" s="39"/>
      <c r="P14" s="43"/>
      <c r="Q14" s="543"/>
      <c r="R14" s="543"/>
      <c r="S14" s="543"/>
      <c r="T14" s="543"/>
      <c r="U14" s="543"/>
      <c r="V14" s="543"/>
      <c r="W14" s="543"/>
      <c r="X14" s="543"/>
    </row>
    <row r="15" spans="1:24" s="196" customFormat="1">
      <c r="A15" s="243" t="s">
        <v>614</v>
      </c>
      <c r="B15" s="243"/>
      <c r="C15" s="176"/>
      <c r="J15" s="46"/>
      <c r="K15" s="199"/>
      <c r="L15" s="45"/>
      <c r="N15" s="45"/>
      <c r="O15" s="45"/>
      <c r="P15" s="46"/>
      <c r="Q15" s="543"/>
      <c r="R15" s="543"/>
      <c r="S15" s="543"/>
      <c r="T15" s="543"/>
      <c r="U15" s="543"/>
      <c r="V15" s="543"/>
      <c r="W15" s="543"/>
      <c r="X15" s="543"/>
    </row>
    <row r="16" spans="1:24" s="196" customFormat="1">
      <c r="A16" s="235">
        <f>Comptn.!A64</f>
        <v>0</v>
      </c>
      <c r="B16" s="235"/>
      <c r="C16" s="756">
        <f>Comptn.!B64</f>
        <v>0</v>
      </c>
      <c r="D16" s="176">
        <f>Comptn.!E64</f>
        <v>0</v>
      </c>
      <c r="E16" s="242"/>
      <c r="F16" s="39">
        <f t="shared" ref="F16:F25" si="6">D16+E16</f>
        <v>0</v>
      </c>
      <c r="G16" s="665">
        <f>Comptn.!C64</f>
        <v>0</v>
      </c>
      <c r="H16" s="686">
        <f>F16*G16</f>
        <v>0</v>
      </c>
      <c r="I16" s="176"/>
      <c r="J16" s="43"/>
      <c r="K16" s="236">
        <f>Comptn.!G64</f>
        <v>0</v>
      </c>
      <c r="L16" s="39">
        <f t="shared" ref="L16:L25" si="7">K16*F16</f>
        <v>0</v>
      </c>
      <c r="M16" s="665">
        <f t="shared" ref="M16:M25" si="8">G16</f>
        <v>0</v>
      </c>
      <c r="N16" s="39">
        <f t="shared" ref="N16:N25" si="9">L16*M16</f>
        <v>0</v>
      </c>
      <c r="O16" s="39"/>
      <c r="P16" s="43"/>
      <c r="Q16" s="543"/>
      <c r="R16" s="543"/>
      <c r="S16" s="543"/>
      <c r="T16" s="543"/>
      <c r="U16" s="543"/>
      <c r="V16" s="543"/>
      <c r="W16" s="543"/>
      <c r="X16" s="543"/>
    </row>
    <row r="17" spans="1:24" s="196" customFormat="1">
      <c r="A17" s="235">
        <f>Comptn.!A65</f>
        <v>0</v>
      </c>
      <c r="B17" s="235"/>
      <c r="C17" s="756">
        <f>Comptn.!B65</f>
        <v>0</v>
      </c>
      <c r="D17" s="176">
        <f>Comptn.!E65</f>
        <v>0</v>
      </c>
      <c r="E17" s="242"/>
      <c r="F17" s="39">
        <f t="shared" si="6"/>
        <v>0</v>
      </c>
      <c r="G17" s="665">
        <f>Comptn.!C65</f>
        <v>0</v>
      </c>
      <c r="H17" s="686">
        <f t="shared" ref="H17:H25" si="10">F17*G17</f>
        <v>0</v>
      </c>
      <c r="I17" s="176"/>
      <c r="J17" s="43"/>
      <c r="K17" s="236">
        <f>Comptn.!G65</f>
        <v>0</v>
      </c>
      <c r="L17" s="39">
        <f t="shared" si="7"/>
        <v>0</v>
      </c>
      <c r="M17" s="665">
        <f t="shared" si="8"/>
        <v>0</v>
      </c>
      <c r="N17" s="39">
        <f t="shared" si="9"/>
        <v>0</v>
      </c>
      <c r="O17" s="39"/>
      <c r="P17" s="43"/>
      <c r="Q17" s="543"/>
      <c r="R17" s="543"/>
      <c r="S17" s="543"/>
      <c r="T17" s="543"/>
      <c r="U17" s="543"/>
      <c r="V17" s="543"/>
      <c r="W17" s="543"/>
      <c r="X17" s="543"/>
    </row>
    <row r="18" spans="1:24" s="196" customFormat="1">
      <c r="A18" s="235">
        <f>Comptn.!A66</f>
        <v>0</v>
      </c>
      <c r="B18" s="235"/>
      <c r="C18" s="756">
        <f>Comptn.!B66</f>
        <v>0</v>
      </c>
      <c r="D18" s="176">
        <f>Comptn.!E66</f>
        <v>0</v>
      </c>
      <c r="E18" s="242"/>
      <c r="F18" s="39">
        <f t="shared" si="6"/>
        <v>0</v>
      </c>
      <c r="G18" s="665">
        <f>Comptn.!C66</f>
        <v>0</v>
      </c>
      <c r="H18" s="686">
        <f t="shared" si="10"/>
        <v>0</v>
      </c>
      <c r="I18" s="176"/>
      <c r="J18" s="43"/>
      <c r="K18" s="236">
        <f>Comptn.!G66</f>
        <v>0</v>
      </c>
      <c r="L18" s="39">
        <f t="shared" si="7"/>
        <v>0</v>
      </c>
      <c r="M18" s="665">
        <f t="shared" si="8"/>
        <v>0</v>
      </c>
      <c r="N18" s="39">
        <f t="shared" si="9"/>
        <v>0</v>
      </c>
      <c r="O18" s="39"/>
      <c r="P18" s="43"/>
      <c r="Q18" s="543"/>
      <c r="R18" s="543"/>
      <c r="S18" s="543"/>
      <c r="T18" s="543"/>
      <c r="U18" s="543"/>
      <c r="V18" s="543"/>
      <c r="W18" s="543"/>
      <c r="X18" s="543"/>
    </row>
    <row r="19" spans="1:24" s="196" customFormat="1">
      <c r="A19" s="235">
        <f>Comptn.!A67</f>
        <v>0</v>
      </c>
      <c r="B19" s="235"/>
      <c r="C19" s="756">
        <f>Comptn.!B67</f>
        <v>0</v>
      </c>
      <c r="D19" s="176">
        <f>Comptn.!E67</f>
        <v>0</v>
      </c>
      <c r="E19" s="242"/>
      <c r="F19" s="39">
        <f t="shared" si="6"/>
        <v>0</v>
      </c>
      <c r="G19" s="665">
        <f>Comptn.!C67</f>
        <v>0</v>
      </c>
      <c r="H19" s="686">
        <f t="shared" si="10"/>
        <v>0</v>
      </c>
      <c r="I19" s="176"/>
      <c r="J19" s="43"/>
      <c r="K19" s="236">
        <f>Comptn.!G67</f>
        <v>0</v>
      </c>
      <c r="L19" s="39">
        <f t="shared" si="7"/>
        <v>0</v>
      </c>
      <c r="M19" s="665">
        <f t="shared" si="8"/>
        <v>0</v>
      </c>
      <c r="N19" s="39">
        <f t="shared" si="9"/>
        <v>0</v>
      </c>
      <c r="O19" s="39"/>
      <c r="P19" s="43"/>
      <c r="Q19" s="543"/>
      <c r="R19" s="543"/>
      <c r="S19" s="543"/>
      <c r="T19" s="543"/>
      <c r="U19" s="543"/>
      <c r="V19" s="543"/>
      <c r="W19" s="543"/>
      <c r="X19" s="543"/>
    </row>
    <row r="20" spans="1:24" s="196" customFormat="1">
      <c r="A20" s="235">
        <f>Comptn.!A68</f>
        <v>0</v>
      </c>
      <c r="B20" s="235"/>
      <c r="C20" s="756">
        <f>Comptn.!B68</f>
        <v>0</v>
      </c>
      <c r="D20" s="176">
        <f>Comptn.!E68</f>
        <v>0</v>
      </c>
      <c r="E20" s="242"/>
      <c r="F20" s="39">
        <f t="shared" si="6"/>
        <v>0</v>
      </c>
      <c r="G20" s="665">
        <f>Comptn.!C68</f>
        <v>0</v>
      </c>
      <c r="H20" s="686">
        <f t="shared" si="10"/>
        <v>0</v>
      </c>
      <c r="I20" s="176"/>
      <c r="J20" s="43"/>
      <c r="K20" s="236">
        <f>Comptn.!G68</f>
        <v>0</v>
      </c>
      <c r="L20" s="39">
        <f t="shared" si="7"/>
        <v>0</v>
      </c>
      <c r="M20" s="665">
        <f t="shared" si="8"/>
        <v>0</v>
      </c>
      <c r="N20" s="39">
        <f t="shared" si="9"/>
        <v>0</v>
      </c>
      <c r="O20" s="39"/>
      <c r="P20" s="43"/>
      <c r="Q20" s="543"/>
      <c r="R20" s="543"/>
      <c r="S20" s="543"/>
      <c r="T20" s="543"/>
      <c r="U20" s="543"/>
      <c r="V20" s="543"/>
      <c r="W20" s="543"/>
      <c r="X20" s="543"/>
    </row>
    <row r="21" spans="1:24" s="196" customFormat="1">
      <c r="A21" s="235">
        <f>Comptn.!A69</f>
        <v>0</v>
      </c>
      <c r="B21" s="235"/>
      <c r="C21" s="756">
        <f>Comptn.!B69</f>
        <v>0</v>
      </c>
      <c r="D21" s="176">
        <f>Comptn.!E69</f>
        <v>0</v>
      </c>
      <c r="E21" s="242"/>
      <c r="F21" s="39">
        <f t="shared" si="6"/>
        <v>0</v>
      </c>
      <c r="G21" s="665">
        <f>Comptn.!C69</f>
        <v>0</v>
      </c>
      <c r="H21" s="686">
        <f t="shared" si="10"/>
        <v>0</v>
      </c>
      <c r="I21" s="176"/>
      <c r="J21" s="43"/>
      <c r="K21" s="236">
        <f>Comptn.!G69</f>
        <v>0</v>
      </c>
      <c r="L21" s="39">
        <f t="shared" si="7"/>
        <v>0</v>
      </c>
      <c r="M21" s="665">
        <f t="shared" si="8"/>
        <v>0</v>
      </c>
      <c r="N21" s="39">
        <f t="shared" si="9"/>
        <v>0</v>
      </c>
      <c r="O21" s="39"/>
      <c r="P21" s="43"/>
      <c r="Q21" s="543"/>
      <c r="R21" s="543"/>
      <c r="S21" s="543"/>
      <c r="T21" s="543"/>
      <c r="U21" s="543"/>
      <c r="V21" s="543"/>
      <c r="W21" s="543"/>
      <c r="X21" s="543"/>
    </row>
    <row r="22" spans="1:24" s="196" customFormat="1">
      <c r="A22" s="235">
        <f>Comptn.!A70</f>
        <v>0</v>
      </c>
      <c r="B22" s="235"/>
      <c r="C22" s="756">
        <f>Comptn.!B70</f>
        <v>0</v>
      </c>
      <c r="D22" s="176">
        <f>Comptn.!E70</f>
        <v>0</v>
      </c>
      <c r="E22" s="242"/>
      <c r="F22" s="39">
        <f t="shared" si="6"/>
        <v>0</v>
      </c>
      <c r="G22" s="665">
        <f>Comptn.!C70</f>
        <v>0</v>
      </c>
      <c r="H22" s="686">
        <f t="shared" si="10"/>
        <v>0</v>
      </c>
      <c r="I22" s="176"/>
      <c r="J22" s="43"/>
      <c r="K22" s="236">
        <f>Comptn.!G70</f>
        <v>0</v>
      </c>
      <c r="L22" s="39">
        <f t="shared" si="7"/>
        <v>0</v>
      </c>
      <c r="M22" s="665">
        <f t="shared" si="8"/>
        <v>0</v>
      </c>
      <c r="N22" s="39">
        <f t="shared" si="9"/>
        <v>0</v>
      </c>
      <c r="O22" s="39"/>
      <c r="P22" s="43"/>
      <c r="Q22" s="543"/>
      <c r="R22" s="543"/>
      <c r="S22" s="543"/>
      <c r="T22" s="543"/>
      <c r="U22" s="543"/>
      <c r="V22" s="543"/>
      <c r="W22" s="543"/>
      <c r="X22" s="543"/>
    </row>
    <row r="23" spans="1:24" s="196" customFormat="1">
      <c r="A23" s="235">
        <f>Comptn.!A71</f>
        <v>0</v>
      </c>
      <c r="B23" s="235"/>
      <c r="C23" s="756">
        <f>Comptn.!B71</f>
        <v>0</v>
      </c>
      <c r="D23" s="176">
        <f>Comptn.!E71</f>
        <v>0</v>
      </c>
      <c r="E23" s="242"/>
      <c r="F23" s="39">
        <f t="shared" si="6"/>
        <v>0</v>
      </c>
      <c r="G23" s="665">
        <f>Comptn.!C71</f>
        <v>0</v>
      </c>
      <c r="H23" s="686">
        <f t="shared" si="10"/>
        <v>0</v>
      </c>
      <c r="I23" s="176"/>
      <c r="J23" s="43"/>
      <c r="K23" s="236">
        <f>Comptn.!G71</f>
        <v>0</v>
      </c>
      <c r="L23" s="39">
        <f t="shared" si="7"/>
        <v>0</v>
      </c>
      <c r="M23" s="665">
        <f t="shared" si="8"/>
        <v>0</v>
      </c>
      <c r="N23" s="39">
        <f t="shared" si="9"/>
        <v>0</v>
      </c>
      <c r="O23" s="39"/>
      <c r="P23" s="43"/>
      <c r="Q23" s="543"/>
      <c r="R23" s="543"/>
      <c r="S23" s="543"/>
      <c r="T23" s="543"/>
      <c r="U23" s="543"/>
      <c r="V23" s="543"/>
      <c r="W23" s="543"/>
      <c r="X23" s="543"/>
    </row>
    <row r="24" spans="1:24" s="196" customFormat="1">
      <c r="A24" s="235">
        <f>Comptn.!A72</f>
        <v>0</v>
      </c>
      <c r="B24" s="235"/>
      <c r="C24" s="756">
        <f>Comptn.!B72</f>
        <v>0</v>
      </c>
      <c r="D24" s="176">
        <f>Comptn.!E72</f>
        <v>0</v>
      </c>
      <c r="E24" s="242"/>
      <c r="F24" s="39">
        <f t="shared" si="6"/>
        <v>0</v>
      </c>
      <c r="G24" s="665">
        <f>Comptn.!C72</f>
        <v>0</v>
      </c>
      <c r="H24" s="686">
        <f t="shared" si="10"/>
        <v>0</v>
      </c>
      <c r="I24" s="176"/>
      <c r="J24" s="43"/>
      <c r="K24" s="236">
        <f>Comptn.!G72</f>
        <v>0</v>
      </c>
      <c r="L24" s="39">
        <f t="shared" si="7"/>
        <v>0</v>
      </c>
      <c r="M24" s="665">
        <f t="shared" si="8"/>
        <v>0</v>
      </c>
      <c r="N24" s="39">
        <f t="shared" si="9"/>
        <v>0</v>
      </c>
      <c r="O24" s="39"/>
      <c r="P24" s="43"/>
      <c r="Q24" s="543"/>
      <c r="R24" s="543"/>
      <c r="S24" s="543"/>
      <c r="T24" s="543"/>
      <c r="U24" s="543"/>
      <c r="V24" s="543"/>
      <c r="W24" s="543"/>
      <c r="X24" s="543"/>
    </row>
    <row r="25" spans="1:24" s="196" customFormat="1">
      <c r="A25" s="235">
        <f>Comptn.!A73</f>
        <v>0</v>
      </c>
      <c r="B25" s="235"/>
      <c r="C25" s="756">
        <f>Comptn.!B73</f>
        <v>0</v>
      </c>
      <c r="D25" s="176">
        <f>Comptn.!E73</f>
        <v>0</v>
      </c>
      <c r="E25" s="242"/>
      <c r="F25" s="39">
        <f t="shared" si="6"/>
        <v>0</v>
      </c>
      <c r="G25" s="665">
        <f>Comptn.!C73</f>
        <v>0</v>
      </c>
      <c r="H25" s="686">
        <f t="shared" si="10"/>
        <v>0</v>
      </c>
      <c r="I25" s="176"/>
      <c r="J25" s="43"/>
      <c r="K25" s="236">
        <f>Comptn.!G73</f>
        <v>0</v>
      </c>
      <c r="L25" s="39">
        <f t="shared" si="7"/>
        <v>0</v>
      </c>
      <c r="M25" s="665">
        <f t="shared" si="8"/>
        <v>0</v>
      </c>
      <c r="N25" s="39">
        <f t="shared" si="9"/>
        <v>0</v>
      </c>
      <c r="O25" s="39"/>
      <c r="P25" s="43"/>
      <c r="Q25" s="543"/>
      <c r="R25" s="543"/>
      <c r="S25" s="543"/>
      <c r="T25" s="543"/>
      <c r="U25" s="543"/>
      <c r="V25" s="543"/>
      <c r="W25" s="543"/>
      <c r="X25" s="543"/>
    </row>
    <row r="26" spans="1:24" s="196" customFormat="1" ht="16.5" thickBot="1">
      <c r="A26" s="237" t="s">
        <v>615</v>
      </c>
      <c r="B26" s="237">
        <f>B13+1</f>
        <v>2</v>
      </c>
      <c r="C26" s="268"/>
      <c r="D26" s="238">
        <f>SUBTOTAL(109,D16:D25)</f>
        <v>0</v>
      </c>
      <c r="E26" s="238">
        <f t="shared" ref="E26:F26" si="11">SUBTOTAL(109,E16:E25)</f>
        <v>0</v>
      </c>
      <c r="F26" s="238">
        <f t="shared" si="11"/>
        <v>0</v>
      </c>
      <c r="G26" s="238"/>
      <c r="H26" s="238">
        <f>SUBTOTAL(109,H16:H25)+I13</f>
        <v>0</v>
      </c>
      <c r="I26" s="238">
        <f>I13+F26</f>
        <v>0</v>
      </c>
      <c r="J26" s="239" t="e">
        <f>(Table27[[#This Row],[Column6]]-I13)/I13</f>
        <v>#DIV/0!</v>
      </c>
      <c r="K26" s="240"/>
      <c r="L26" s="241">
        <f>SUM(L16:L25)</f>
        <v>0</v>
      </c>
      <c r="M26" s="238"/>
      <c r="N26" s="241">
        <f>O13+SUM(N16:N25)</f>
        <v>0</v>
      </c>
      <c r="O26" s="241">
        <f>O13+L26</f>
        <v>0</v>
      </c>
      <c r="P26" s="239" t="e">
        <f>(Table27[[#This Row],[Column11]]-O13)/O13</f>
        <v>#DIV/0!</v>
      </c>
      <c r="Q26" s="543"/>
      <c r="R26" s="543"/>
      <c r="S26" s="543"/>
      <c r="T26" s="543"/>
      <c r="U26" s="543"/>
      <c r="V26" s="543"/>
      <c r="W26" s="543"/>
      <c r="X26" s="543"/>
    </row>
    <row r="27" spans="1:24" s="196" customFormat="1" ht="16.5" thickTop="1">
      <c r="A27" s="235"/>
      <c r="B27" s="235"/>
      <c r="D27" s="176"/>
      <c r="E27" s="242"/>
      <c r="F27" s="176"/>
      <c r="G27" s="176"/>
      <c r="H27" s="176"/>
      <c r="I27" s="176"/>
      <c r="J27" s="43"/>
      <c r="K27" s="236"/>
      <c r="L27" s="39"/>
      <c r="M27" s="242"/>
      <c r="N27" s="39"/>
      <c r="O27" s="39"/>
      <c r="P27" s="43"/>
      <c r="Q27" s="543"/>
      <c r="R27" s="543"/>
      <c r="S27" s="543"/>
      <c r="T27" s="543"/>
      <c r="U27" s="543"/>
      <c r="V27" s="543"/>
      <c r="W27" s="543"/>
      <c r="X27" s="543"/>
    </row>
    <row r="28" spans="1:24" s="196" customFormat="1">
      <c r="A28" s="243" t="s">
        <v>614</v>
      </c>
      <c r="B28" s="243"/>
      <c r="J28" s="46"/>
      <c r="K28" s="199"/>
      <c r="L28" s="45"/>
      <c r="N28" s="45"/>
      <c r="O28" s="45"/>
      <c r="P28" s="46"/>
      <c r="Q28" s="543"/>
      <c r="R28" s="543"/>
      <c r="S28" s="543"/>
      <c r="T28" s="543"/>
      <c r="U28" s="543"/>
      <c r="V28" s="543"/>
      <c r="W28" s="543"/>
      <c r="X28" s="543"/>
    </row>
    <row r="29" spans="1:24" s="542" customFormat="1">
      <c r="A29" s="693">
        <f>Comptn.!A75</f>
        <v>0</v>
      </c>
      <c r="B29" s="693"/>
      <c r="C29" s="694">
        <f>Comptn.!B75</f>
        <v>0</v>
      </c>
      <c r="D29" s="542">
        <f>Comptn.!E75</f>
        <v>0</v>
      </c>
      <c r="F29" s="39">
        <f t="shared" ref="F29:F39" si="12">D29+E29</f>
        <v>0</v>
      </c>
      <c r="G29" s="665">
        <f>Comptn.!C75</f>
        <v>0</v>
      </c>
      <c r="H29" s="686">
        <f t="shared" ref="H29:H39" si="13">F29*G29</f>
        <v>0</v>
      </c>
      <c r="J29" s="695"/>
      <c r="K29" s="696">
        <f>Comptn.!G75</f>
        <v>0</v>
      </c>
      <c r="L29" s="39">
        <f t="shared" ref="L29:L39" si="14">K29*F29</f>
        <v>0</v>
      </c>
      <c r="M29" s="665">
        <f t="shared" ref="M29:M39" si="15">G29</f>
        <v>0</v>
      </c>
      <c r="N29" s="39">
        <f t="shared" ref="N29:N39" si="16">L29*M29</f>
        <v>0</v>
      </c>
      <c r="O29" s="522"/>
      <c r="P29" s="695"/>
    </row>
    <row r="30" spans="1:24">
      <c r="A30" s="693">
        <f>Comptn.!A76</f>
        <v>0</v>
      </c>
      <c r="B30" s="693"/>
      <c r="C30" s="694">
        <f>Comptn.!B76</f>
        <v>0</v>
      </c>
      <c r="D30" s="542">
        <f>Comptn.!E76</f>
        <v>0</v>
      </c>
      <c r="F30" s="39">
        <f t="shared" si="12"/>
        <v>0</v>
      </c>
      <c r="G30" s="665">
        <f>Comptn.!C76</f>
        <v>0</v>
      </c>
      <c r="H30" s="686">
        <f t="shared" si="13"/>
        <v>0</v>
      </c>
      <c r="J30" s="43"/>
      <c r="K30" s="696">
        <f>Comptn.!G76</f>
        <v>0</v>
      </c>
      <c r="L30" s="39">
        <f t="shared" si="14"/>
        <v>0</v>
      </c>
      <c r="M30" s="665">
        <f t="shared" si="15"/>
        <v>0</v>
      </c>
      <c r="N30" s="39">
        <f t="shared" si="16"/>
        <v>0</v>
      </c>
    </row>
    <row r="31" spans="1:24">
      <c r="A31" s="693">
        <f>Comptn.!A77</f>
        <v>0</v>
      </c>
      <c r="B31" s="693"/>
      <c r="C31" s="694">
        <f>Comptn.!B77</f>
        <v>0</v>
      </c>
      <c r="D31" s="542">
        <f>Comptn.!E77</f>
        <v>0</v>
      </c>
      <c r="F31" s="39">
        <f t="shared" si="12"/>
        <v>0</v>
      </c>
      <c r="G31" s="665">
        <f>Comptn.!C77</f>
        <v>0</v>
      </c>
      <c r="H31" s="686">
        <f t="shared" si="13"/>
        <v>0</v>
      </c>
      <c r="J31" s="43"/>
      <c r="K31" s="696">
        <f>Comptn.!G77</f>
        <v>0</v>
      </c>
      <c r="L31" s="39">
        <f t="shared" si="14"/>
        <v>0</v>
      </c>
      <c r="M31" s="665">
        <f t="shared" si="15"/>
        <v>0</v>
      </c>
      <c r="N31" s="39">
        <f t="shared" si="16"/>
        <v>0</v>
      </c>
    </row>
    <row r="32" spans="1:24">
      <c r="A32" s="693">
        <f>Comptn.!A78</f>
        <v>0</v>
      </c>
      <c r="B32" s="693"/>
      <c r="C32" s="694">
        <f>Comptn.!B78</f>
        <v>0</v>
      </c>
      <c r="D32" s="542">
        <f>Comptn.!E78</f>
        <v>0</v>
      </c>
      <c r="E32" s="242"/>
      <c r="F32" s="39">
        <f t="shared" si="12"/>
        <v>0</v>
      </c>
      <c r="G32" s="665">
        <f>Comptn.!C78</f>
        <v>0</v>
      </c>
      <c r="H32" s="686">
        <f t="shared" si="13"/>
        <v>0</v>
      </c>
      <c r="J32" s="43"/>
      <c r="K32" s="696">
        <f>Comptn.!G78</f>
        <v>0</v>
      </c>
      <c r="L32" s="39">
        <f t="shared" si="14"/>
        <v>0</v>
      </c>
      <c r="M32" s="665">
        <f t="shared" si="15"/>
        <v>0</v>
      </c>
      <c r="N32" s="39">
        <f t="shared" si="16"/>
        <v>0</v>
      </c>
    </row>
    <row r="33" spans="1:24">
      <c r="A33" s="693">
        <f>Comptn.!A79</f>
        <v>0</v>
      </c>
      <c r="B33" s="693"/>
      <c r="C33" s="694">
        <f>Comptn.!B79</f>
        <v>0</v>
      </c>
      <c r="D33" s="542">
        <f>Comptn.!E79</f>
        <v>0</v>
      </c>
      <c r="E33" s="242"/>
      <c r="F33" s="39">
        <f t="shared" si="12"/>
        <v>0</v>
      </c>
      <c r="G33" s="665">
        <f>Comptn.!C79</f>
        <v>0</v>
      </c>
      <c r="H33" s="686">
        <f t="shared" si="13"/>
        <v>0</v>
      </c>
      <c r="J33" s="43"/>
      <c r="K33" s="696">
        <f>Comptn.!G79</f>
        <v>0</v>
      </c>
      <c r="L33" s="39">
        <f t="shared" si="14"/>
        <v>0</v>
      </c>
      <c r="M33" s="665">
        <f t="shared" si="15"/>
        <v>0</v>
      </c>
      <c r="N33" s="39">
        <f t="shared" si="16"/>
        <v>0</v>
      </c>
    </row>
    <row r="34" spans="1:24">
      <c r="A34" s="693">
        <f>Comptn.!A80</f>
        <v>0</v>
      </c>
      <c r="B34" s="693"/>
      <c r="C34" s="694">
        <f>Comptn.!B80</f>
        <v>0</v>
      </c>
      <c r="D34" s="542">
        <f>Comptn.!E80</f>
        <v>0</v>
      </c>
      <c r="E34" s="242"/>
      <c r="F34" s="39">
        <f t="shared" si="12"/>
        <v>0</v>
      </c>
      <c r="G34" s="665">
        <f>Comptn.!C80</f>
        <v>0</v>
      </c>
      <c r="H34" s="686">
        <f t="shared" si="13"/>
        <v>0</v>
      </c>
      <c r="J34" s="43"/>
      <c r="K34" s="696">
        <f>Comptn.!G80</f>
        <v>0</v>
      </c>
      <c r="L34" s="39">
        <f t="shared" si="14"/>
        <v>0</v>
      </c>
      <c r="M34" s="665">
        <f t="shared" si="15"/>
        <v>0</v>
      </c>
      <c r="N34" s="39">
        <f t="shared" si="16"/>
        <v>0</v>
      </c>
    </row>
    <row r="35" spans="1:24">
      <c r="A35" s="693">
        <f>Comptn.!A81</f>
        <v>0</v>
      </c>
      <c r="B35" s="693"/>
      <c r="C35" s="694">
        <f>Comptn.!B81</f>
        <v>0</v>
      </c>
      <c r="D35" s="542">
        <f>Comptn.!E81</f>
        <v>0</v>
      </c>
      <c r="E35" s="242"/>
      <c r="F35" s="39">
        <f t="shared" si="12"/>
        <v>0</v>
      </c>
      <c r="G35" s="665">
        <f>Comptn.!C81</f>
        <v>0</v>
      </c>
      <c r="H35" s="686">
        <f t="shared" si="13"/>
        <v>0</v>
      </c>
      <c r="J35" s="43"/>
      <c r="K35" s="696">
        <f>Comptn.!G81</f>
        <v>0</v>
      </c>
      <c r="L35" s="39">
        <f t="shared" si="14"/>
        <v>0</v>
      </c>
      <c r="M35" s="665">
        <f t="shared" si="15"/>
        <v>0</v>
      </c>
      <c r="N35" s="39">
        <f t="shared" si="16"/>
        <v>0</v>
      </c>
    </row>
    <row r="36" spans="1:24">
      <c r="A36" s="693">
        <f>Comptn.!A82</f>
        <v>0</v>
      </c>
      <c r="B36" s="693"/>
      <c r="C36" s="694">
        <f>Comptn.!B82</f>
        <v>0</v>
      </c>
      <c r="D36" s="542">
        <f>Comptn.!E82</f>
        <v>0</v>
      </c>
      <c r="E36" s="242"/>
      <c r="F36" s="39">
        <f t="shared" si="12"/>
        <v>0</v>
      </c>
      <c r="G36" s="665">
        <f>Comptn.!C82</f>
        <v>0</v>
      </c>
      <c r="H36" s="686">
        <f t="shared" si="13"/>
        <v>0</v>
      </c>
      <c r="J36" s="43"/>
      <c r="K36" s="696">
        <f>Comptn.!G82</f>
        <v>0</v>
      </c>
      <c r="L36" s="39">
        <f t="shared" si="14"/>
        <v>0</v>
      </c>
      <c r="M36" s="665">
        <f t="shared" si="15"/>
        <v>0</v>
      </c>
      <c r="N36" s="39">
        <f t="shared" si="16"/>
        <v>0</v>
      </c>
    </row>
    <row r="37" spans="1:24">
      <c r="A37" s="693">
        <f>Comptn.!A83</f>
        <v>0</v>
      </c>
      <c r="B37" s="693"/>
      <c r="C37" s="694">
        <f>Comptn.!B83</f>
        <v>0</v>
      </c>
      <c r="D37" s="542">
        <f>Comptn.!E83</f>
        <v>0</v>
      </c>
      <c r="E37" s="242"/>
      <c r="F37" s="39">
        <f t="shared" si="12"/>
        <v>0</v>
      </c>
      <c r="G37" s="665">
        <f>Comptn.!C83</f>
        <v>0</v>
      </c>
      <c r="H37" s="686">
        <f t="shared" si="13"/>
        <v>0</v>
      </c>
      <c r="J37" s="43"/>
      <c r="K37" s="696">
        <f>Comptn.!G83</f>
        <v>0</v>
      </c>
      <c r="L37" s="39">
        <f t="shared" si="14"/>
        <v>0</v>
      </c>
      <c r="M37" s="665">
        <f t="shared" si="15"/>
        <v>0</v>
      </c>
      <c r="N37" s="39">
        <f t="shared" si="16"/>
        <v>0</v>
      </c>
    </row>
    <row r="38" spans="1:24">
      <c r="A38" s="693">
        <f>Comptn.!A84</f>
        <v>0</v>
      </c>
      <c r="B38" s="693"/>
      <c r="C38" s="694">
        <f>Comptn.!B84</f>
        <v>0</v>
      </c>
      <c r="D38" s="542">
        <f>Comptn.!E84</f>
        <v>0</v>
      </c>
      <c r="E38" s="242"/>
      <c r="F38" s="39">
        <f t="shared" si="12"/>
        <v>0</v>
      </c>
      <c r="G38" s="665">
        <f>Comptn.!C84</f>
        <v>0</v>
      </c>
      <c r="H38" s="686">
        <f t="shared" si="13"/>
        <v>0</v>
      </c>
      <c r="J38" s="43"/>
      <c r="K38" s="696">
        <f>Comptn.!G84</f>
        <v>0</v>
      </c>
      <c r="L38" s="39">
        <f t="shared" si="14"/>
        <v>0</v>
      </c>
      <c r="M38" s="665">
        <f t="shared" si="15"/>
        <v>0</v>
      </c>
      <c r="N38" s="39">
        <f t="shared" si="16"/>
        <v>0</v>
      </c>
    </row>
    <row r="39" spans="1:24">
      <c r="A39" s="693">
        <f>Comptn.!A85</f>
        <v>0</v>
      </c>
      <c r="B39" s="693"/>
      <c r="C39" s="694">
        <f>Comptn.!B85</f>
        <v>0</v>
      </c>
      <c r="D39" s="542">
        <f>Comptn.!E85</f>
        <v>0</v>
      </c>
      <c r="F39" s="39">
        <f t="shared" si="12"/>
        <v>0</v>
      </c>
      <c r="G39" s="665">
        <f>Comptn.!C85</f>
        <v>0</v>
      </c>
      <c r="H39" s="686">
        <f t="shared" si="13"/>
        <v>0</v>
      </c>
      <c r="J39" s="43"/>
      <c r="K39" s="696">
        <f>Comptn.!G85</f>
        <v>0</v>
      </c>
      <c r="L39" s="39">
        <f t="shared" si="14"/>
        <v>0</v>
      </c>
      <c r="M39" s="665">
        <f t="shared" si="15"/>
        <v>0</v>
      </c>
      <c r="N39" s="39">
        <f t="shared" si="16"/>
        <v>0</v>
      </c>
    </row>
    <row r="40" spans="1:24" s="196" customFormat="1" ht="16.5" thickBot="1">
      <c r="A40" s="237" t="s">
        <v>615</v>
      </c>
      <c r="B40" s="237">
        <f>B26+1</f>
        <v>3</v>
      </c>
      <c r="C40" s="238"/>
      <c r="D40" s="238">
        <f>SUBTOTAL(109,D29:D39)</f>
        <v>0</v>
      </c>
      <c r="E40" s="238">
        <f>SUBTOTAL(109,E29:E39)</f>
        <v>0</v>
      </c>
      <c r="F40" s="238">
        <f>SUBTOTAL(109,F29:F39)</f>
        <v>0</v>
      </c>
      <c r="G40" s="238"/>
      <c r="H40" s="241">
        <f>I26+SUM(H29:H39)</f>
        <v>0</v>
      </c>
      <c r="I40" s="245">
        <f>I26+F40</f>
        <v>0</v>
      </c>
      <c r="J40" s="239" t="e">
        <f>(Table27[[#This Row],[Column6]]-H26)/H26</f>
        <v>#DIV/0!</v>
      </c>
      <c r="K40" s="240"/>
      <c r="L40" s="241">
        <f>SUM(L29:L39)</f>
        <v>0</v>
      </c>
      <c r="M40" s="238"/>
      <c r="N40" s="241">
        <f>O26+SUM(N29:N39)</f>
        <v>0</v>
      </c>
      <c r="O40" s="241">
        <f>O26+L40</f>
        <v>0</v>
      </c>
      <c r="P40" s="239" t="e">
        <f>(Table27[[#This Row],[Column11]]-N26)/N26</f>
        <v>#DIV/0!</v>
      </c>
      <c r="Q40" s="543"/>
      <c r="R40" s="543"/>
      <c r="S40" s="543"/>
      <c r="T40" s="543"/>
      <c r="U40" s="543"/>
      <c r="V40" s="543"/>
      <c r="W40" s="543"/>
      <c r="X40" s="543"/>
    </row>
    <row r="41" spans="1:24" s="196" customFormat="1" ht="16.5" thickTop="1">
      <c r="A41" s="235"/>
      <c r="B41" s="235"/>
      <c r="D41" s="176"/>
      <c r="E41" s="242"/>
      <c r="F41" s="176"/>
      <c r="G41" s="176"/>
      <c r="H41" s="176"/>
      <c r="I41" s="193"/>
      <c r="J41" s="43"/>
      <c r="K41" s="236"/>
      <c r="L41" s="39"/>
      <c r="M41" s="242"/>
      <c r="N41" s="39"/>
      <c r="O41" s="39"/>
      <c r="P41" s="43"/>
      <c r="Q41" s="543"/>
      <c r="R41" s="543"/>
      <c r="S41" s="543"/>
      <c r="T41" s="543"/>
      <c r="U41" s="543"/>
      <c r="V41" s="543"/>
      <c r="W41" s="543"/>
      <c r="X41" s="543"/>
    </row>
    <row r="42" spans="1:24" s="196" customFormat="1">
      <c r="A42" s="243" t="s">
        <v>614</v>
      </c>
      <c r="B42" s="243"/>
      <c r="J42" s="46"/>
      <c r="K42" s="199"/>
      <c r="L42" s="45"/>
      <c r="N42" s="45"/>
      <c r="O42" s="45"/>
      <c r="P42" s="46"/>
      <c r="Q42" s="543"/>
      <c r="R42" s="543"/>
      <c r="S42" s="543"/>
      <c r="T42" s="543"/>
      <c r="U42" s="543"/>
      <c r="V42" s="543"/>
      <c r="W42" s="543"/>
      <c r="X42" s="543"/>
    </row>
    <row r="43" spans="1:24">
      <c r="A43" s="235">
        <f>Comptn.!A87</f>
        <v>0</v>
      </c>
      <c r="C43" s="694">
        <f>Comptn.!B87</f>
        <v>0</v>
      </c>
      <c r="D43" s="176">
        <f>Comptn.!E87</f>
        <v>0</v>
      </c>
      <c r="F43" s="39">
        <f t="shared" ref="F43:F51" si="17">D43+E43</f>
        <v>0</v>
      </c>
      <c r="G43" s="665">
        <f>Comptn.!C87</f>
        <v>0</v>
      </c>
      <c r="H43" s="686">
        <f t="shared" ref="H43:H51" si="18">F43*G43</f>
        <v>0</v>
      </c>
      <c r="J43" s="43"/>
      <c r="K43" s="236">
        <f>Comptn.!G87</f>
        <v>0</v>
      </c>
      <c r="L43" s="39">
        <f t="shared" ref="L43:L51" si="19">K43*F43</f>
        <v>0</v>
      </c>
      <c r="M43" s="665">
        <f t="shared" ref="M43:M51" si="20">G43</f>
        <v>0</v>
      </c>
      <c r="N43" s="39">
        <f t="shared" ref="N43:N51" si="21">L43*M43</f>
        <v>0</v>
      </c>
    </row>
    <row r="44" spans="1:24">
      <c r="A44" s="235">
        <f>Comptn.!A88</f>
        <v>0</v>
      </c>
      <c r="C44" s="694">
        <f>Comptn.!B88</f>
        <v>0</v>
      </c>
      <c r="D44" s="176">
        <f>Comptn.!E88</f>
        <v>0</v>
      </c>
      <c r="F44" s="39">
        <f t="shared" si="17"/>
        <v>0</v>
      </c>
      <c r="G44" s="665">
        <f>Comptn.!C88</f>
        <v>0</v>
      </c>
      <c r="H44" s="686">
        <f t="shared" si="18"/>
        <v>0</v>
      </c>
      <c r="J44" s="43"/>
      <c r="K44" s="236">
        <f>Comptn.!G88</f>
        <v>0</v>
      </c>
      <c r="L44" s="39">
        <f t="shared" si="19"/>
        <v>0</v>
      </c>
      <c r="M44" s="665">
        <f t="shared" si="20"/>
        <v>0</v>
      </c>
      <c r="N44" s="39">
        <f t="shared" si="21"/>
        <v>0</v>
      </c>
    </row>
    <row r="45" spans="1:24">
      <c r="A45" s="235">
        <f>Comptn.!A89</f>
        <v>0</v>
      </c>
      <c r="C45" s="694">
        <f>Comptn.!B89</f>
        <v>0</v>
      </c>
      <c r="D45" s="176">
        <f>Comptn.!E89</f>
        <v>0</v>
      </c>
      <c r="E45" s="242"/>
      <c r="F45" s="39">
        <f t="shared" si="17"/>
        <v>0</v>
      </c>
      <c r="G45" s="665">
        <f>Comptn.!C89</f>
        <v>0</v>
      </c>
      <c r="H45" s="686">
        <f t="shared" si="18"/>
        <v>0</v>
      </c>
      <c r="J45" s="43"/>
      <c r="K45" s="236">
        <f>Comptn.!G89</f>
        <v>0</v>
      </c>
      <c r="L45" s="39">
        <f t="shared" si="19"/>
        <v>0</v>
      </c>
      <c r="M45" s="665">
        <f t="shared" si="20"/>
        <v>0</v>
      </c>
      <c r="N45" s="39">
        <f t="shared" si="21"/>
        <v>0</v>
      </c>
    </row>
    <row r="46" spans="1:24">
      <c r="A46" s="235">
        <f>Comptn.!A90</f>
        <v>0</v>
      </c>
      <c r="C46" s="694">
        <f>Comptn.!B90</f>
        <v>0</v>
      </c>
      <c r="D46" s="176">
        <f>Comptn.!E90</f>
        <v>0</v>
      </c>
      <c r="E46" s="242"/>
      <c r="F46" s="39">
        <f t="shared" si="17"/>
        <v>0</v>
      </c>
      <c r="G46" s="665">
        <f>Comptn.!C90</f>
        <v>0</v>
      </c>
      <c r="H46" s="686">
        <f t="shared" si="18"/>
        <v>0</v>
      </c>
      <c r="J46" s="43"/>
      <c r="K46" s="236">
        <f>Comptn.!G90</f>
        <v>0</v>
      </c>
      <c r="L46" s="39">
        <f t="shared" si="19"/>
        <v>0</v>
      </c>
      <c r="M46" s="665">
        <f t="shared" si="20"/>
        <v>0</v>
      </c>
      <c r="N46" s="39">
        <f t="shared" si="21"/>
        <v>0</v>
      </c>
    </row>
    <row r="47" spans="1:24">
      <c r="A47" s="235">
        <f>Comptn.!A91</f>
        <v>0</v>
      </c>
      <c r="C47" s="694">
        <f>Comptn.!B91</f>
        <v>0</v>
      </c>
      <c r="D47" s="176">
        <f>Comptn.!E91</f>
        <v>0</v>
      </c>
      <c r="E47" s="242"/>
      <c r="F47" s="39">
        <f t="shared" si="17"/>
        <v>0</v>
      </c>
      <c r="G47" s="665">
        <f>Comptn.!C91</f>
        <v>0</v>
      </c>
      <c r="H47" s="686">
        <f t="shared" si="18"/>
        <v>0</v>
      </c>
      <c r="J47" s="43"/>
      <c r="K47" s="236">
        <f>Comptn.!G91</f>
        <v>0</v>
      </c>
      <c r="L47" s="39">
        <f t="shared" si="19"/>
        <v>0</v>
      </c>
      <c r="M47" s="665">
        <f t="shared" si="20"/>
        <v>0</v>
      </c>
      <c r="N47" s="39">
        <f t="shared" si="21"/>
        <v>0</v>
      </c>
    </row>
    <row r="48" spans="1:24">
      <c r="A48" s="235">
        <f>Comptn.!A92</f>
        <v>0</v>
      </c>
      <c r="C48" s="694">
        <f>Comptn.!B92</f>
        <v>0</v>
      </c>
      <c r="D48" s="176">
        <f>Comptn.!E92</f>
        <v>0</v>
      </c>
      <c r="E48" s="242"/>
      <c r="F48" s="39">
        <f t="shared" si="17"/>
        <v>0</v>
      </c>
      <c r="G48" s="665">
        <f>Comptn.!C92</f>
        <v>0</v>
      </c>
      <c r="H48" s="686">
        <f t="shared" si="18"/>
        <v>0</v>
      </c>
      <c r="J48" s="43"/>
      <c r="K48" s="236">
        <f>Comptn.!G92</f>
        <v>0</v>
      </c>
      <c r="L48" s="39">
        <f t="shared" si="19"/>
        <v>0</v>
      </c>
      <c r="M48" s="665">
        <f t="shared" si="20"/>
        <v>0</v>
      </c>
      <c r="N48" s="39">
        <f t="shared" si="21"/>
        <v>0</v>
      </c>
    </row>
    <row r="49" spans="1:24">
      <c r="A49" s="235">
        <f>Comptn.!A93</f>
        <v>0</v>
      </c>
      <c r="C49" s="694">
        <f>Comptn.!B93</f>
        <v>0</v>
      </c>
      <c r="D49" s="176">
        <f>Comptn.!E93</f>
        <v>0</v>
      </c>
      <c r="E49" s="242"/>
      <c r="F49" s="39">
        <f t="shared" si="17"/>
        <v>0</v>
      </c>
      <c r="G49" s="665">
        <f>Comptn.!C93</f>
        <v>0</v>
      </c>
      <c r="H49" s="686">
        <f t="shared" si="18"/>
        <v>0</v>
      </c>
      <c r="J49" s="43"/>
      <c r="K49" s="236">
        <f>Comptn.!G93</f>
        <v>0</v>
      </c>
      <c r="L49" s="39">
        <f t="shared" si="19"/>
        <v>0</v>
      </c>
      <c r="M49" s="665">
        <f t="shared" si="20"/>
        <v>0</v>
      </c>
      <c r="N49" s="39">
        <f t="shared" si="21"/>
        <v>0</v>
      </c>
    </row>
    <row r="50" spans="1:24">
      <c r="A50" s="235">
        <f>Comptn.!A94</f>
        <v>0</v>
      </c>
      <c r="C50" s="694">
        <f>Comptn.!B94</f>
        <v>0</v>
      </c>
      <c r="D50" s="176">
        <f>Comptn.!E94</f>
        <v>0</v>
      </c>
      <c r="E50" s="242"/>
      <c r="F50" s="39">
        <f t="shared" si="17"/>
        <v>0</v>
      </c>
      <c r="G50" s="665">
        <f>Comptn.!C94</f>
        <v>0</v>
      </c>
      <c r="H50" s="686">
        <f t="shared" si="18"/>
        <v>0</v>
      </c>
      <c r="J50" s="43"/>
      <c r="K50" s="236">
        <f>Comptn.!G94</f>
        <v>0</v>
      </c>
      <c r="L50" s="39">
        <f t="shared" si="19"/>
        <v>0</v>
      </c>
      <c r="M50" s="665">
        <f t="shared" si="20"/>
        <v>0</v>
      </c>
      <c r="N50" s="39">
        <f t="shared" si="21"/>
        <v>0</v>
      </c>
    </row>
    <row r="51" spans="1:24">
      <c r="A51" s="235">
        <f>Comptn.!A95</f>
        <v>0</v>
      </c>
      <c r="C51" s="694">
        <f>Comptn.!B95</f>
        <v>0</v>
      </c>
      <c r="D51" s="176">
        <f>Comptn.!E95</f>
        <v>0</v>
      </c>
      <c r="F51" s="39">
        <f t="shared" si="17"/>
        <v>0</v>
      </c>
      <c r="G51" s="665">
        <f>Comptn.!C95</f>
        <v>0</v>
      </c>
      <c r="H51" s="686">
        <f t="shared" si="18"/>
        <v>0</v>
      </c>
      <c r="J51" s="43"/>
      <c r="K51" s="236">
        <f>Comptn.!G95</f>
        <v>0</v>
      </c>
      <c r="L51" s="39">
        <f t="shared" si="19"/>
        <v>0</v>
      </c>
      <c r="M51" s="665">
        <f t="shared" si="20"/>
        <v>0</v>
      </c>
      <c r="N51" s="39">
        <f t="shared" si="21"/>
        <v>0</v>
      </c>
    </row>
    <row r="52" spans="1:24" s="196" customFormat="1" ht="16.5" thickBot="1">
      <c r="A52" s="237" t="s">
        <v>615</v>
      </c>
      <c r="B52" s="237">
        <f>B40+1</f>
        <v>4</v>
      </c>
      <c r="C52" s="238"/>
      <c r="D52" s="238">
        <f>SUBTOTAL(109,D43:D51)</f>
        <v>0</v>
      </c>
      <c r="E52" s="238">
        <f t="shared" ref="E52:F52" si="22">SUBTOTAL(109,E43:E51)</f>
        <v>0</v>
      </c>
      <c r="F52" s="238">
        <f t="shared" si="22"/>
        <v>0</v>
      </c>
      <c r="G52" s="238"/>
      <c r="H52" s="245">
        <f>I40+SUM(H43:H51)</f>
        <v>0</v>
      </c>
      <c r="I52" s="245">
        <f>I40+F52</f>
        <v>0</v>
      </c>
      <c r="J52" s="239" t="e">
        <f>(Table27[[#This Row],[Column6]]-H40)/H40</f>
        <v>#DIV/0!</v>
      </c>
      <c r="K52" s="240"/>
      <c r="L52" s="241">
        <f>SUM(L43:L51)</f>
        <v>0</v>
      </c>
      <c r="M52" s="241"/>
      <c r="N52" s="241">
        <f>O40+SUM(N43:N51)</f>
        <v>0</v>
      </c>
      <c r="O52" s="241">
        <f>O40+L52</f>
        <v>0</v>
      </c>
      <c r="P52" s="239" t="e">
        <f>(Table27[[#This Row],[Column11]]-N40)/N40</f>
        <v>#DIV/0!</v>
      </c>
      <c r="Q52" s="543"/>
      <c r="R52" s="543"/>
      <c r="S52" s="543"/>
      <c r="T52" s="543"/>
      <c r="U52" s="543"/>
      <c r="V52" s="543"/>
      <c r="W52" s="543"/>
      <c r="X52" s="543"/>
    </row>
    <row r="53" spans="1:24" s="196" customFormat="1" ht="16.5" thickTop="1">
      <c r="A53" s="235"/>
      <c r="B53" s="235"/>
      <c r="D53" s="176"/>
      <c r="E53" s="242"/>
      <c r="F53" s="176"/>
      <c r="G53" s="176"/>
      <c r="H53" s="193"/>
      <c r="I53" s="193"/>
      <c r="J53" s="43"/>
      <c r="K53" s="236"/>
      <c r="L53" s="39"/>
      <c r="M53" s="242"/>
      <c r="N53" s="39"/>
      <c r="O53" s="39"/>
      <c r="P53" s="43"/>
      <c r="Q53" s="543"/>
      <c r="R53" s="543"/>
      <c r="S53" s="543"/>
      <c r="T53" s="543"/>
      <c r="U53" s="543"/>
      <c r="V53" s="543"/>
      <c r="W53" s="543"/>
      <c r="X53" s="543"/>
    </row>
    <row r="54" spans="1:24" s="196" customFormat="1">
      <c r="A54" s="243" t="s">
        <v>614</v>
      </c>
      <c r="B54" s="243"/>
      <c r="F54" s="39"/>
      <c r="G54" s="692"/>
      <c r="H54" s="686"/>
      <c r="J54" s="46"/>
      <c r="K54" s="199"/>
      <c r="L54" s="45"/>
      <c r="N54" s="45"/>
      <c r="O54" s="45"/>
      <c r="P54" s="46"/>
      <c r="Q54" s="543"/>
      <c r="R54" s="543"/>
      <c r="S54" s="543"/>
      <c r="T54" s="543"/>
      <c r="U54" s="543"/>
      <c r="V54" s="543"/>
      <c r="W54" s="543"/>
      <c r="X54" s="543"/>
    </row>
    <row r="55" spans="1:24" s="196" customFormat="1">
      <c r="A55" s="235">
        <f>Comptn.!A97</f>
        <v>0</v>
      </c>
      <c r="B55" s="235"/>
      <c r="C55" s="694">
        <f>Comptn.!B97</f>
        <v>0</v>
      </c>
      <c r="D55" s="176">
        <f>Comptn.!E97</f>
        <v>0</v>
      </c>
      <c r="E55" s="242"/>
      <c r="F55" s="39">
        <f t="shared" ref="F55:F58" si="23">D55+E55</f>
        <v>0</v>
      </c>
      <c r="G55" s="665">
        <f>Comptn.!C97</f>
        <v>0</v>
      </c>
      <c r="H55" s="686">
        <f t="shared" ref="H55:H58" si="24">F55*G55</f>
        <v>0</v>
      </c>
      <c r="I55" s="176"/>
      <c r="J55" s="43"/>
      <c r="K55" s="236">
        <f>Comptn.!G97</f>
        <v>0</v>
      </c>
      <c r="L55" s="39">
        <f t="shared" ref="L55:L58" si="25">K55*F55</f>
        <v>0</v>
      </c>
      <c r="M55" s="665">
        <f t="shared" ref="M55:M58" si="26">G55</f>
        <v>0</v>
      </c>
      <c r="N55" s="39">
        <f t="shared" ref="N55:N58" si="27">L55*M55</f>
        <v>0</v>
      </c>
      <c r="O55" s="39"/>
      <c r="P55" s="43"/>
      <c r="Q55" s="543"/>
      <c r="R55" s="543"/>
      <c r="S55" s="543"/>
      <c r="T55" s="543"/>
      <c r="U55" s="543"/>
      <c r="V55" s="543"/>
      <c r="W55" s="543"/>
      <c r="X55" s="543"/>
    </row>
    <row r="56" spans="1:24" s="196" customFormat="1">
      <c r="A56" s="235">
        <f>Comptn.!A98</f>
        <v>0</v>
      </c>
      <c r="B56" s="235"/>
      <c r="C56" s="694">
        <f>Comptn.!B98</f>
        <v>0</v>
      </c>
      <c r="D56" s="176">
        <f>Comptn.!E98</f>
        <v>0</v>
      </c>
      <c r="E56" s="242"/>
      <c r="F56" s="39">
        <f t="shared" si="23"/>
        <v>0</v>
      </c>
      <c r="G56" s="665">
        <f>Comptn.!C98</f>
        <v>0</v>
      </c>
      <c r="H56" s="686">
        <f t="shared" si="24"/>
        <v>0</v>
      </c>
      <c r="I56" s="176"/>
      <c r="J56" s="43"/>
      <c r="K56" s="236">
        <f>Comptn.!G98</f>
        <v>0</v>
      </c>
      <c r="L56" s="39">
        <f t="shared" si="25"/>
        <v>0</v>
      </c>
      <c r="M56" s="665">
        <f t="shared" si="26"/>
        <v>0</v>
      </c>
      <c r="N56" s="39">
        <f t="shared" si="27"/>
        <v>0</v>
      </c>
      <c r="O56" s="39"/>
      <c r="P56" s="43"/>
      <c r="Q56" s="543"/>
      <c r="R56" s="543"/>
      <c r="S56" s="543"/>
      <c r="T56" s="543"/>
      <c r="U56" s="543"/>
      <c r="V56" s="543"/>
      <c r="W56" s="543"/>
      <c r="X56" s="543"/>
    </row>
    <row r="57" spans="1:24" s="196" customFormat="1">
      <c r="A57" s="235">
        <f>Comptn.!A99</f>
        <v>0</v>
      </c>
      <c r="B57" s="235"/>
      <c r="C57" s="694">
        <f>Comptn.!B99</f>
        <v>0</v>
      </c>
      <c r="D57" s="176">
        <f>Comptn.!E99</f>
        <v>0</v>
      </c>
      <c r="E57" s="242"/>
      <c r="F57" s="39">
        <f t="shared" si="23"/>
        <v>0</v>
      </c>
      <c r="G57" s="665">
        <f>Comptn.!C99</f>
        <v>0</v>
      </c>
      <c r="H57" s="686">
        <f t="shared" si="24"/>
        <v>0</v>
      </c>
      <c r="I57" s="176"/>
      <c r="J57" s="43"/>
      <c r="K57" s="236">
        <f>Comptn.!G99</f>
        <v>0</v>
      </c>
      <c r="L57" s="39">
        <f t="shared" si="25"/>
        <v>0</v>
      </c>
      <c r="M57" s="665">
        <f t="shared" si="26"/>
        <v>0</v>
      </c>
      <c r="N57" s="39">
        <f t="shared" si="27"/>
        <v>0</v>
      </c>
      <c r="O57" s="39"/>
      <c r="P57" s="43"/>
      <c r="Q57" s="543"/>
      <c r="R57" s="543"/>
      <c r="S57" s="543"/>
      <c r="T57" s="543"/>
      <c r="U57" s="543"/>
      <c r="V57" s="543"/>
      <c r="W57" s="543"/>
      <c r="X57" s="543"/>
    </row>
    <row r="58" spans="1:24" s="196" customFormat="1">
      <c r="A58" s="235">
        <f>Comptn.!A100</f>
        <v>0</v>
      </c>
      <c r="B58" s="235"/>
      <c r="C58" s="694">
        <f>Comptn.!B100</f>
        <v>0</v>
      </c>
      <c r="D58" s="176">
        <f>Comptn.!E100</f>
        <v>0</v>
      </c>
      <c r="E58" s="242"/>
      <c r="F58" s="39">
        <f t="shared" si="23"/>
        <v>0</v>
      </c>
      <c r="G58" s="665">
        <f>Comptn.!C100</f>
        <v>0</v>
      </c>
      <c r="H58" s="686">
        <f t="shared" si="24"/>
        <v>0</v>
      </c>
      <c r="I58" s="176"/>
      <c r="J58" s="43"/>
      <c r="K58" s="236">
        <f>Comptn.!G100</f>
        <v>0</v>
      </c>
      <c r="L58" s="39">
        <f t="shared" si="25"/>
        <v>0</v>
      </c>
      <c r="M58" s="665">
        <f t="shared" si="26"/>
        <v>0</v>
      </c>
      <c r="N58" s="39">
        <f t="shared" si="27"/>
        <v>0</v>
      </c>
      <c r="O58" s="39"/>
      <c r="P58" s="43"/>
      <c r="Q58" s="543"/>
      <c r="R58" s="543"/>
      <c r="S58" s="543"/>
      <c r="T58" s="543"/>
      <c r="U58" s="543"/>
      <c r="V58" s="543"/>
      <c r="W58" s="543"/>
      <c r="X58" s="543"/>
    </row>
    <row r="59" spans="1:24" s="196" customFormat="1" ht="16.5" thickBot="1">
      <c r="A59" s="237" t="s">
        <v>616</v>
      </c>
      <c r="B59" s="237">
        <f>B52+1</f>
        <v>5</v>
      </c>
      <c r="C59" s="238"/>
      <c r="D59" s="238">
        <f>SUBTOTAL(109,D54:D58)</f>
        <v>0</v>
      </c>
      <c r="E59" s="238">
        <f>SUBTOTAL(109,E54:E58)</f>
        <v>0</v>
      </c>
      <c r="F59" s="238">
        <f>SUBTOTAL(109,F54:F58)</f>
        <v>0</v>
      </c>
      <c r="G59" s="238"/>
      <c r="H59" s="245">
        <f>I52+SUM(H54:H58)</f>
        <v>0</v>
      </c>
      <c r="I59" s="245">
        <f>I52+F59</f>
        <v>0</v>
      </c>
      <c r="J59" s="239" t="e">
        <f>(Table27[[#This Row],[Column6]]-H52)/H52</f>
        <v>#DIV/0!</v>
      </c>
      <c r="K59" s="240"/>
      <c r="L59" s="241">
        <f>SUM(L55:L58)</f>
        <v>0</v>
      </c>
      <c r="M59" s="238"/>
      <c r="N59" s="241">
        <f>O52+SUM((N55:N58))</f>
        <v>0</v>
      </c>
      <c r="O59" s="241">
        <f>O52+L59</f>
        <v>0</v>
      </c>
      <c r="P59" s="239" t="e">
        <f>(Table27[[#This Row],[Column11]]-N52)/N52</f>
        <v>#DIV/0!</v>
      </c>
      <c r="Q59" s="543"/>
      <c r="R59" s="543"/>
      <c r="S59" s="543"/>
      <c r="T59" s="543"/>
      <c r="U59" s="543"/>
      <c r="V59" s="543"/>
      <c r="W59" s="543"/>
      <c r="X59" s="543"/>
    </row>
    <row r="60" spans="1:24" s="196" customFormat="1" ht="16.5" thickTop="1">
      <c r="A60" s="235"/>
      <c r="B60" s="235"/>
      <c r="D60" s="176"/>
      <c r="E60" s="242"/>
      <c r="F60" s="176"/>
      <c r="G60" s="176"/>
      <c r="H60" s="193"/>
      <c r="I60" s="193"/>
      <c r="J60" s="43"/>
      <c r="K60" s="236"/>
      <c r="L60" s="39"/>
      <c r="M60" s="242"/>
      <c r="N60" s="39"/>
      <c r="O60" s="39"/>
      <c r="P60" s="43"/>
      <c r="Q60" s="543"/>
      <c r="R60" s="543"/>
      <c r="S60" s="543"/>
      <c r="T60" s="543"/>
      <c r="U60" s="543"/>
      <c r="V60" s="543"/>
      <c r="W60" s="543"/>
      <c r="X60" s="543"/>
    </row>
    <row r="61" spans="1:24" s="196" customFormat="1">
      <c r="A61" s="246" t="s">
        <v>214</v>
      </c>
      <c r="B61" s="246"/>
      <c r="C61" s="247"/>
      <c r="D61" s="247"/>
      <c r="E61" s="248" t="e">
        <f>$F$29/H40</f>
        <v>#DIV/0!</v>
      </c>
      <c r="F61" s="247" t="s">
        <v>675</v>
      </c>
      <c r="G61" s="247"/>
      <c r="H61" s="247"/>
      <c r="I61" s="247"/>
      <c r="J61" s="249"/>
      <c r="K61" s="250"/>
      <c r="L61" s="736" t="e">
        <f>'3'!$E$7/N40</f>
        <v>#DIV/0!</v>
      </c>
      <c r="M61" s="248"/>
      <c r="N61" s="247" t="s">
        <v>675</v>
      </c>
      <c r="O61" s="251"/>
      <c r="P61" s="249"/>
      <c r="Q61" s="543"/>
      <c r="R61" s="543"/>
      <c r="S61" s="543"/>
      <c r="T61" s="543"/>
      <c r="U61" s="543"/>
      <c r="V61" s="543"/>
      <c r="W61" s="543"/>
      <c r="X61" s="543"/>
    </row>
    <row r="62" spans="1:24" s="196" customFormat="1">
      <c r="A62" s="246"/>
      <c r="B62" s="246"/>
      <c r="C62" s="247"/>
      <c r="D62" s="247"/>
      <c r="E62" s="248" t="e">
        <f>$F$29/H52</f>
        <v>#DIV/0!</v>
      </c>
      <c r="F62" s="247" t="s">
        <v>676</v>
      </c>
      <c r="G62" s="247"/>
      <c r="H62" s="247"/>
      <c r="I62" s="247"/>
      <c r="J62" s="249"/>
      <c r="K62" s="250"/>
      <c r="L62" s="736" t="e">
        <f>'3'!$E$7/N52</f>
        <v>#DIV/0!</v>
      </c>
      <c r="M62" s="248"/>
      <c r="N62" s="247" t="s">
        <v>676</v>
      </c>
      <c r="O62" s="251"/>
      <c r="P62" s="249"/>
      <c r="Q62" s="543"/>
      <c r="R62" s="543"/>
      <c r="S62" s="543"/>
      <c r="T62" s="543"/>
      <c r="U62" s="543"/>
      <c r="V62" s="543"/>
      <c r="W62" s="543"/>
      <c r="X62" s="543"/>
    </row>
    <row r="63" spans="1:24" s="196" customFormat="1">
      <c r="A63" s="246"/>
      <c r="B63" s="246"/>
      <c r="C63" s="247"/>
      <c r="D63" s="247"/>
      <c r="E63" s="248" t="e">
        <f>$F$29/H59</f>
        <v>#DIV/0!</v>
      </c>
      <c r="F63" s="247" t="s">
        <v>677</v>
      </c>
      <c r="G63" s="247"/>
      <c r="H63" s="247"/>
      <c r="I63" s="247"/>
      <c r="J63" s="249"/>
      <c r="K63" s="250"/>
      <c r="L63" s="736" t="e">
        <f>'3'!$E$7/N59</f>
        <v>#DIV/0!</v>
      </c>
      <c r="M63" s="248"/>
      <c r="N63" s="247" t="s">
        <v>677</v>
      </c>
      <c r="O63" s="251"/>
      <c r="P63" s="249"/>
      <c r="Q63" s="543"/>
      <c r="R63" s="543"/>
      <c r="S63" s="543"/>
      <c r="T63" s="543"/>
      <c r="U63" s="543"/>
      <c r="V63" s="543"/>
      <c r="W63" s="543"/>
      <c r="X63" s="543"/>
    </row>
  </sheetData>
  <sheetProtection password="DA39" sheet="1" objects="1" scenarios="1" selectLockedCells="1"/>
  <mergeCells count="3">
    <mergeCell ref="D3:I3"/>
    <mergeCell ref="K3:O3"/>
    <mergeCell ref="A1:P1"/>
  </mergeCells>
  <printOptions horizontalCentered="1"/>
  <pageMargins left="0.25" right="0.25" top="0.75" bottom="0.75" header="0.3" footer="0.3"/>
  <pageSetup scale="51" orientation="landscape" r:id="rId1"/>
  <headerFooter>
    <oddFooter>&amp;L&amp;F&amp;R&amp;A</oddFooter>
  </headerFooter>
  <tableParts count="1">
    <tablePart r:id="rId2"/>
  </tableParts>
</worksheet>
</file>

<file path=xl/worksheets/sheet2.xml><?xml version="1.0" encoding="utf-8"?>
<worksheet xmlns="http://schemas.openxmlformats.org/spreadsheetml/2006/main" xmlns:r="http://schemas.openxmlformats.org/officeDocument/2006/relationships">
  <dimension ref="A1:M74"/>
  <sheetViews>
    <sheetView showGridLines="0" workbookViewId="0">
      <selection activeCell="F15" sqref="F15"/>
    </sheetView>
  </sheetViews>
  <sheetFormatPr defaultRowHeight="15"/>
  <cols>
    <col min="1" max="1" width="39.5703125" style="383" bestFit="1" customWidth="1"/>
    <col min="2" max="3" width="11.5703125" style="383" customWidth="1"/>
    <col min="4" max="4" width="11.5703125" style="384" customWidth="1"/>
    <col min="5" max="5" width="12.85546875" style="20" bestFit="1" customWidth="1"/>
    <col min="6" max="6" width="10.85546875" style="384" customWidth="1"/>
    <col min="7" max="7" width="26.42578125" style="384" customWidth="1"/>
    <col min="8" max="12" width="9.140625" style="20"/>
    <col min="13" max="13" width="10.5703125" style="20" customWidth="1"/>
    <col min="14" max="16384" width="9.140625" style="18"/>
  </cols>
  <sheetData>
    <row r="1" spans="1:13" ht="15.75" thickBot="1"/>
    <row r="2" spans="1:13" ht="30" customHeight="1" thickBot="1">
      <c r="A2" s="766" t="s">
        <v>451</v>
      </c>
      <c r="B2" s="767"/>
      <c r="C2" s="767"/>
      <c r="D2" s="767"/>
      <c r="E2" s="767"/>
      <c r="F2" s="767"/>
      <c r="G2" s="767"/>
      <c r="H2" s="767"/>
      <c r="I2" s="767"/>
      <c r="J2" s="767"/>
      <c r="K2" s="767"/>
      <c r="L2" s="767"/>
      <c r="M2" s="768"/>
    </row>
    <row r="4" spans="1:13" ht="16.5" thickBot="1">
      <c r="A4" s="385" t="s">
        <v>624</v>
      </c>
      <c r="E4" s="770" t="s">
        <v>632</v>
      </c>
      <c r="F4" s="770"/>
      <c r="G4" s="770"/>
      <c r="H4" s="770"/>
    </row>
    <row r="5" spans="1:13" ht="63.75" thickBot="1">
      <c r="A5" s="386" t="s">
        <v>0</v>
      </c>
      <c r="B5" s="387" t="s">
        <v>474</v>
      </c>
      <c r="C5" s="387" t="s">
        <v>36</v>
      </c>
      <c r="D5" s="388" t="s">
        <v>446</v>
      </c>
      <c r="E5" s="389" t="s">
        <v>473</v>
      </c>
      <c r="F5" s="390" t="s">
        <v>470</v>
      </c>
      <c r="G5" s="391"/>
      <c r="H5" s="392" t="s">
        <v>189</v>
      </c>
      <c r="M5" s="18"/>
    </row>
    <row r="6" spans="1:13" ht="30">
      <c r="A6" s="393" t="s">
        <v>447</v>
      </c>
      <c r="B6" s="358"/>
      <c r="C6" s="358"/>
      <c r="D6" s="359"/>
      <c r="E6" s="394"/>
      <c r="F6" s="885"/>
      <c r="G6" s="393" t="s">
        <v>520</v>
      </c>
      <c r="H6" s="886"/>
      <c r="M6" s="18"/>
    </row>
    <row r="7" spans="1:13">
      <c r="A7" s="396" t="s">
        <v>448</v>
      </c>
      <c r="B7" s="360"/>
      <c r="C7" s="360"/>
      <c r="D7" s="361"/>
      <c r="E7" s="397"/>
      <c r="F7" s="883"/>
      <c r="G7" s="401" t="s">
        <v>519</v>
      </c>
      <c r="H7" s="664"/>
      <c r="M7" s="18"/>
    </row>
    <row r="8" spans="1:13">
      <c r="A8" s="396" t="s">
        <v>41</v>
      </c>
      <c r="B8" s="360"/>
      <c r="C8" s="397"/>
      <c r="D8" s="361"/>
      <c r="E8" s="397"/>
      <c r="F8" s="883"/>
      <c r="G8" s="887" t="s">
        <v>353</v>
      </c>
      <c r="H8" s="427"/>
      <c r="M8" s="18"/>
    </row>
    <row r="9" spans="1:13" ht="15.75" thickBot="1">
      <c r="A9" s="396" t="s">
        <v>66</v>
      </c>
      <c r="B9" s="363"/>
      <c r="C9" s="397"/>
      <c r="D9" s="361"/>
      <c r="E9" s="364"/>
      <c r="F9" s="884"/>
      <c r="G9" s="888" t="s">
        <v>354</v>
      </c>
      <c r="H9" s="362"/>
      <c r="M9" s="18"/>
    </row>
    <row r="10" spans="1:13">
      <c r="A10" s="396" t="s">
        <v>67</v>
      </c>
      <c r="B10" s="363"/>
      <c r="C10" s="397"/>
      <c r="D10" s="361"/>
      <c r="E10" s="364"/>
      <c r="F10" s="365"/>
      <c r="G10" s="20"/>
      <c r="M10" s="18"/>
    </row>
    <row r="11" spans="1:13">
      <c r="A11" s="396" t="s">
        <v>68</v>
      </c>
      <c r="B11" s="363"/>
      <c r="C11" s="397"/>
      <c r="D11" s="361"/>
      <c r="E11" s="364"/>
      <c r="F11" s="365"/>
      <c r="G11" s="20"/>
      <c r="M11" s="18"/>
    </row>
    <row r="12" spans="1:13">
      <c r="A12" s="396" t="s">
        <v>69</v>
      </c>
      <c r="B12" s="363"/>
      <c r="C12" s="397"/>
      <c r="D12" s="361"/>
      <c r="E12" s="364"/>
      <c r="F12" s="365"/>
      <c r="G12" s="20"/>
      <c r="M12" s="18"/>
    </row>
    <row r="13" spans="1:13">
      <c r="A13" s="396" t="s">
        <v>72</v>
      </c>
      <c r="B13" s="363"/>
      <c r="C13" s="397"/>
      <c r="D13" s="361"/>
      <c r="E13" s="363"/>
      <c r="F13" s="365"/>
      <c r="G13" s="20"/>
      <c r="M13" s="18"/>
    </row>
    <row r="14" spans="1:13">
      <c r="A14" s="396" t="s">
        <v>71</v>
      </c>
      <c r="B14" s="363"/>
      <c r="C14" s="397"/>
      <c r="D14" s="361"/>
      <c r="E14" s="363"/>
      <c r="F14" s="365"/>
      <c r="G14" s="20"/>
      <c r="M14" s="18"/>
    </row>
    <row r="15" spans="1:13">
      <c r="A15" s="396" t="s">
        <v>471</v>
      </c>
      <c r="B15" s="397"/>
      <c r="C15" s="397"/>
      <c r="D15" s="400"/>
      <c r="E15" s="397"/>
      <c r="F15" s="365"/>
      <c r="G15" s="20"/>
      <c r="M15" s="18"/>
    </row>
    <row r="16" spans="1:13">
      <c r="A16" s="396" t="s">
        <v>49</v>
      </c>
      <c r="B16" s="397"/>
      <c r="C16" s="397"/>
      <c r="D16" s="361"/>
      <c r="E16" s="397"/>
      <c r="F16" s="398"/>
      <c r="G16" s="20"/>
      <c r="M16" s="18"/>
    </row>
    <row r="17" spans="1:13">
      <c r="A17" s="396" t="s">
        <v>50</v>
      </c>
      <c r="B17" s="397"/>
      <c r="C17" s="397"/>
      <c r="D17" s="361"/>
      <c r="E17" s="397"/>
      <c r="F17" s="398"/>
      <c r="G17" s="20"/>
      <c r="M17" s="18"/>
    </row>
    <row r="18" spans="1:13">
      <c r="A18" s="396" t="s">
        <v>51</v>
      </c>
      <c r="B18" s="397"/>
      <c r="C18" s="397"/>
      <c r="D18" s="361"/>
      <c r="E18" s="397"/>
      <c r="F18" s="398"/>
      <c r="G18" s="20"/>
      <c r="M18" s="18"/>
    </row>
    <row r="19" spans="1:13">
      <c r="A19" s="396" t="s">
        <v>52</v>
      </c>
      <c r="B19" s="397"/>
      <c r="C19" s="397"/>
      <c r="D19" s="361"/>
      <c r="E19" s="397"/>
      <c r="F19" s="398"/>
      <c r="G19" s="20"/>
      <c r="M19" s="18"/>
    </row>
    <row r="20" spans="1:13">
      <c r="A20" s="396" t="s">
        <v>53</v>
      </c>
      <c r="B20" s="397"/>
      <c r="C20" s="397"/>
      <c r="D20" s="361"/>
      <c r="E20" s="397"/>
      <c r="F20" s="398"/>
      <c r="G20" s="20"/>
      <c r="M20" s="18"/>
    </row>
    <row r="21" spans="1:13">
      <c r="A21" s="396" t="s">
        <v>54</v>
      </c>
      <c r="B21" s="397"/>
      <c r="C21" s="397"/>
      <c r="D21" s="361"/>
      <c r="E21" s="397"/>
      <c r="F21" s="398"/>
      <c r="G21" s="20"/>
      <c r="M21" s="18"/>
    </row>
    <row r="22" spans="1:13">
      <c r="A22" s="396" t="s">
        <v>452</v>
      </c>
      <c r="B22" s="397"/>
      <c r="C22" s="397"/>
      <c r="D22" s="361"/>
      <c r="E22" s="397"/>
      <c r="F22" s="398"/>
      <c r="G22" s="20"/>
      <c r="M22" s="18"/>
    </row>
    <row r="23" spans="1:13">
      <c r="A23" s="396" t="s">
        <v>56</v>
      </c>
      <c r="B23" s="397"/>
      <c r="C23" s="397"/>
      <c r="D23" s="361"/>
      <c r="E23" s="397"/>
      <c r="F23" s="398"/>
      <c r="G23" s="20"/>
      <c r="M23" s="18"/>
    </row>
    <row r="24" spans="1:13">
      <c r="A24" s="396" t="s">
        <v>60</v>
      </c>
      <c r="B24" s="397"/>
      <c r="C24" s="397"/>
      <c r="D24" s="361"/>
      <c r="E24" s="397"/>
      <c r="F24" s="398"/>
      <c r="G24" s="20"/>
      <c r="M24" s="18"/>
    </row>
    <row r="25" spans="1:13">
      <c r="A25" s="396" t="s">
        <v>62</v>
      </c>
      <c r="B25" s="397"/>
      <c r="C25" s="397"/>
      <c r="D25" s="361"/>
      <c r="E25" s="397"/>
      <c r="F25" s="398"/>
      <c r="G25" s="20"/>
      <c r="M25" s="18"/>
    </row>
    <row r="26" spans="1:13">
      <c r="A26" s="396" t="s">
        <v>63</v>
      </c>
      <c r="B26" s="397"/>
      <c r="C26" s="397"/>
      <c r="D26" s="361"/>
      <c r="E26" s="397"/>
      <c r="F26" s="398"/>
      <c r="G26" s="20"/>
      <c r="M26" s="18"/>
    </row>
    <row r="27" spans="1:13">
      <c r="A27" s="396" t="s">
        <v>64</v>
      </c>
      <c r="B27" s="397"/>
      <c r="C27" s="397"/>
      <c r="D27" s="361"/>
      <c r="E27" s="397"/>
      <c r="F27" s="398"/>
      <c r="G27" s="20"/>
      <c r="M27" s="18"/>
    </row>
    <row r="28" spans="1:13">
      <c r="A28" s="396" t="s">
        <v>453</v>
      </c>
      <c r="B28" s="397"/>
      <c r="C28" s="397"/>
      <c r="D28" s="361"/>
      <c r="E28" s="397"/>
      <c r="F28" s="398"/>
      <c r="G28" s="20"/>
      <c r="M28" s="18"/>
    </row>
    <row r="29" spans="1:13">
      <c r="A29" s="396" t="s">
        <v>454</v>
      </c>
      <c r="B29" s="397"/>
      <c r="C29" s="397"/>
      <c r="D29" s="361"/>
      <c r="E29" s="397"/>
      <c r="F29" s="398"/>
      <c r="G29" s="20"/>
      <c r="M29" s="18"/>
    </row>
    <row r="30" spans="1:13">
      <c r="A30" s="396" t="s">
        <v>74</v>
      </c>
      <c r="B30" s="397"/>
      <c r="C30" s="397"/>
      <c r="D30" s="361"/>
      <c r="E30" s="397"/>
      <c r="F30" s="398"/>
      <c r="G30" s="20"/>
      <c r="M30" s="18"/>
    </row>
    <row r="31" spans="1:13">
      <c r="A31" s="396" t="s">
        <v>75</v>
      </c>
      <c r="B31" s="397"/>
      <c r="C31" s="397"/>
      <c r="D31" s="361"/>
      <c r="E31" s="397"/>
      <c r="F31" s="398"/>
      <c r="G31" s="20"/>
      <c r="M31" s="18"/>
    </row>
    <row r="32" spans="1:13">
      <c r="A32" s="396" t="s">
        <v>76</v>
      </c>
      <c r="B32" s="397"/>
      <c r="C32" s="397"/>
      <c r="D32" s="361"/>
      <c r="E32" s="397"/>
      <c r="F32" s="398"/>
      <c r="G32" s="20"/>
      <c r="M32" s="18"/>
    </row>
    <row r="33" spans="1:13">
      <c r="A33" s="396" t="s">
        <v>77</v>
      </c>
      <c r="B33" s="397"/>
      <c r="C33" s="397"/>
      <c r="D33" s="361"/>
      <c r="E33" s="397"/>
      <c r="F33" s="398"/>
      <c r="G33" s="20"/>
      <c r="M33" s="18"/>
    </row>
    <row r="34" spans="1:13">
      <c r="A34" s="396" t="s">
        <v>78</v>
      </c>
      <c r="B34" s="397"/>
      <c r="C34" s="397"/>
      <c r="D34" s="361"/>
      <c r="E34" s="397"/>
      <c r="F34" s="398"/>
      <c r="G34" s="20"/>
      <c r="M34" s="18"/>
    </row>
    <row r="35" spans="1:13">
      <c r="A35" s="396" t="s">
        <v>79</v>
      </c>
      <c r="B35" s="397"/>
      <c r="C35" s="397"/>
      <c r="D35" s="361"/>
      <c r="E35" s="397"/>
      <c r="F35" s="398"/>
      <c r="G35" s="20"/>
      <c r="M35" s="18"/>
    </row>
    <row r="36" spans="1:13">
      <c r="A36" s="401" t="s">
        <v>80</v>
      </c>
      <c r="B36" s="402"/>
      <c r="C36" s="402"/>
      <c r="D36" s="366"/>
      <c r="E36" s="397"/>
      <c r="F36" s="398"/>
      <c r="G36" s="20"/>
      <c r="M36" s="18"/>
    </row>
    <row r="37" spans="1:13" ht="15.75" thickBot="1">
      <c r="A37" s="399" t="s">
        <v>24</v>
      </c>
      <c r="B37" s="403"/>
      <c r="C37" s="403"/>
      <c r="D37" s="367"/>
      <c r="E37" s="403"/>
      <c r="F37" s="404"/>
      <c r="G37" s="20"/>
      <c r="M37" s="18"/>
    </row>
    <row r="39" spans="1:13" ht="16.5" thickBot="1">
      <c r="A39" s="385" t="s">
        <v>625</v>
      </c>
    </row>
    <row r="40" spans="1:13" ht="15.75">
      <c r="A40" s="936" t="s">
        <v>0</v>
      </c>
      <c r="B40" s="405" t="s">
        <v>82</v>
      </c>
      <c r="C40" s="757" t="s">
        <v>119</v>
      </c>
      <c r="D40" s="406" t="s">
        <v>658</v>
      </c>
      <c r="E40" s="938">
        <f>'1'!B20</f>
        <v>0</v>
      </c>
      <c r="F40" s="934" t="s">
        <v>656</v>
      </c>
      <c r="G40" s="764"/>
      <c r="H40" s="764"/>
      <c r="I40" s="765"/>
      <c r="J40" s="764" t="s">
        <v>656</v>
      </c>
      <c r="K40" s="764"/>
      <c r="L40" s="764"/>
      <c r="M40" s="765"/>
    </row>
    <row r="41" spans="1:13" ht="16.5" thickBot="1">
      <c r="A41" s="937"/>
      <c r="B41" s="407" t="s">
        <v>121</v>
      </c>
      <c r="C41" s="408" t="s">
        <v>189</v>
      </c>
      <c r="D41" s="409" t="s">
        <v>121</v>
      </c>
      <c r="E41" s="939" t="s">
        <v>605</v>
      </c>
      <c r="F41" s="935" t="s">
        <v>644</v>
      </c>
      <c r="G41" s="409" t="s">
        <v>645</v>
      </c>
      <c r="H41" s="410" t="s">
        <v>646</v>
      </c>
      <c r="I41" s="411" t="s">
        <v>647</v>
      </c>
      <c r="J41" s="933" t="s">
        <v>644</v>
      </c>
      <c r="K41" s="409" t="s">
        <v>645</v>
      </c>
      <c r="L41" s="410" t="s">
        <v>646</v>
      </c>
      <c r="M41" s="411" t="s">
        <v>647</v>
      </c>
    </row>
    <row r="42" spans="1:13">
      <c r="A42" s="395" t="s">
        <v>124</v>
      </c>
      <c r="B42" s="368"/>
      <c r="C42" s="369"/>
      <c r="D42" s="412">
        <f t="shared" ref="D42:D48" si="0">B42*(100%+C42)</f>
        <v>0</v>
      </c>
      <c r="E42" s="370"/>
      <c r="F42" s="371"/>
      <c r="G42" s="371"/>
      <c r="H42" s="372"/>
      <c r="I42" s="372"/>
      <c r="J42" s="372"/>
      <c r="K42" s="372"/>
      <c r="L42" s="372"/>
      <c r="M42" s="373"/>
    </row>
    <row r="43" spans="1:13">
      <c r="A43" s="396" t="s">
        <v>125</v>
      </c>
      <c r="B43" s="360"/>
      <c r="C43" s="413">
        <f>C42</f>
        <v>0</v>
      </c>
      <c r="D43" s="397">
        <f t="shared" si="0"/>
        <v>0</v>
      </c>
      <c r="E43" s="374"/>
      <c r="F43" s="375"/>
      <c r="G43" s="375"/>
      <c r="H43" s="376"/>
      <c r="I43" s="376"/>
      <c r="J43" s="376"/>
      <c r="K43" s="376"/>
      <c r="L43" s="376"/>
      <c r="M43" s="377"/>
    </row>
    <row r="44" spans="1:13" ht="30">
      <c r="A44" s="396" t="s">
        <v>126</v>
      </c>
      <c r="B44" s="360"/>
      <c r="C44" s="413">
        <f>C43</f>
        <v>0</v>
      </c>
      <c r="D44" s="397">
        <f t="shared" si="0"/>
        <v>0</v>
      </c>
      <c r="E44" s="374"/>
      <c r="F44" s="375"/>
      <c r="G44" s="375"/>
      <c r="H44" s="376"/>
      <c r="I44" s="376"/>
      <c r="J44" s="376"/>
      <c r="K44" s="376"/>
      <c r="L44" s="376"/>
      <c r="M44" s="377"/>
    </row>
    <row r="45" spans="1:13">
      <c r="A45" s="396" t="s">
        <v>127</v>
      </c>
      <c r="B45" s="360"/>
      <c r="C45" s="413">
        <f>C44</f>
        <v>0</v>
      </c>
      <c r="D45" s="397">
        <f t="shared" si="0"/>
        <v>0</v>
      </c>
      <c r="E45" s="374"/>
      <c r="F45" s="375"/>
      <c r="G45" s="375"/>
      <c r="H45" s="376"/>
      <c r="I45" s="376"/>
      <c r="J45" s="376"/>
      <c r="K45" s="376"/>
      <c r="L45" s="376"/>
      <c r="M45" s="377"/>
    </row>
    <row r="46" spans="1:13">
      <c r="A46" s="396" t="s">
        <v>128</v>
      </c>
      <c r="B46" s="360"/>
      <c r="C46" s="413">
        <f>C45</f>
        <v>0</v>
      </c>
      <c r="D46" s="397">
        <f t="shared" si="0"/>
        <v>0</v>
      </c>
      <c r="E46" s="374"/>
      <c r="F46" s="375"/>
      <c r="G46" s="375"/>
      <c r="H46" s="376"/>
      <c r="I46" s="376"/>
      <c r="J46" s="376"/>
      <c r="K46" s="376"/>
      <c r="L46" s="376"/>
      <c r="M46" s="377"/>
    </row>
    <row r="47" spans="1:13" ht="30">
      <c r="A47" s="396" t="s">
        <v>146</v>
      </c>
      <c r="B47" s="360"/>
      <c r="C47" s="378"/>
      <c r="D47" s="397">
        <f t="shared" si="0"/>
        <v>0</v>
      </c>
      <c r="E47" s="374"/>
      <c r="F47" s="375"/>
      <c r="G47" s="375"/>
      <c r="H47" s="376"/>
      <c r="I47" s="376"/>
      <c r="J47" s="376"/>
      <c r="K47" s="376"/>
      <c r="L47" s="376"/>
      <c r="M47" s="377"/>
    </row>
    <row r="48" spans="1:13">
      <c r="A48" s="396" t="s">
        <v>92</v>
      </c>
      <c r="B48" s="360"/>
      <c r="C48" s="413">
        <f>C47</f>
        <v>0</v>
      </c>
      <c r="D48" s="397">
        <f t="shared" si="0"/>
        <v>0</v>
      </c>
      <c r="E48" s="374"/>
      <c r="F48" s="375"/>
      <c r="G48" s="375"/>
      <c r="H48" s="376"/>
      <c r="I48" s="376"/>
      <c r="J48" s="376"/>
      <c r="K48" s="376"/>
      <c r="L48" s="376"/>
      <c r="M48" s="377"/>
    </row>
    <row r="49" spans="1:13">
      <c r="A49" s="396" t="s">
        <v>93</v>
      </c>
      <c r="B49" s="360"/>
      <c r="C49" s="413">
        <f t="shared" ref="C49:C54" si="1">C48</f>
        <v>0</v>
      </c>
      <c r="D49" s="397">
        <f t="shared" ref="D49:D61" si="2">B49*(100%+C49)</f>
        <v>0</v>
      </c>
      <c r="E49" s="374"/>
      <c r="F49" s="375"/>
      <c r="G49" s="375"/>
      <c r="H49" s="376"/>
      <c r="I49" s="376"/>
      <c r="J49" s="376"/>
      <c r="K49" s="376"/>
      <c r="L49" s="376"/>
      <c r="M49" s="377"/>
    </row>
    <row r="50" spans="1:13">
      <c r="A50" s="396" t="s">
        <v>94</v>
      </c>
      <c r="B50" s="360"/>
      <c r="C50" s="413">
        <f t="shared" si="1"/>
        <v>0</v>
      </c>
      <c r="D50" s="397">
        <f t="shared" si="2"/>
        <v>0</v>
      </c>
      <c r="E50" s="374"/>
      <c r="F50" s="375"/>
      <c r="G50" s="375"/>
      <c r="H50" s="376"/>
      <c r="I50" s="376"/>
      <c r="J50" s="376"/>
      <c r="K50" s="376"/>
      <c r="L50" s="376"/>
      <c r="M50" s="377"/>
    </row>
    <row r="51" spans="1:13">
      <c r="A51" s="396" t="s">
        <v>95</v>
      </c>
      <c r="B51" s="360"/>
      <c r="C51" s="413">
        <f t="shared" si="1"/>
        <v>0</v>
      </c>
      <c r="D51" s="397">
        <f t="shared" si="2"/>
        <v>0</v>
      </c>
      <c r="E51" s="374"/>
      <c r="F51" s="375"/>
      <c r="G51" s="375"/>
      <c r="H51" s="376"/>
      <c r="I51" s="376"/>
      <c r="J51" s="376"/>
      <c r="K51" s="376"/>
      <c r="L51" s="376"/>
      <c r="M51" s="377"/>
    </row>
    <row r="52" spans="1:13">
      <c r="A52" s="396" t="s">
        <v>96</v>
      </c>
      <c r="B52" s="360"/>
      <c r="C52" s="413">
        <f t="shared" si="1"/>
        <v>0</v>
      </c>
      <c r="D52" s="397">
        <f t="shared" si="2"/>
        <v>0</v>
      </c>
      <c r="E52" s="374"/>
      <c r="F52" s="375"/>
      <c r="G52" s="375"/>
      <c r="H52" s="376"/>
      <c r="I52" s="376"/>
      <c r="J52" s="376"/>
      <c r="K52" s="376"/>
      <c r="L52" s="376"/>
      <c r="M52" s="377"/>
    </row>
    <row r="53" spans="1:13">
      <c r="A53" s="396" t="s">
        <v>129</v>
      </c>
      <c r="B53" s="360"/>
      <c r="C53" s="413">
        <f t="shared" si="1"/>
        <v>0</v>
      </c>
      <c r="D53" s="397">
        <f t="shared" si="2"/>
        <v>0</v>
      </c>
      <c r="E53" s="374"/>
      <c r="F53" s="375"/>
      <c r="G53" s="375"/>
      <c r="H53" s="376"/>
      <c r="I53" s="376"/>
      <c r="J53" s="376"/>
      <c r="K53" s="376"/>
      <c r="L53" s="376"/>
      <c r="M53" s="377"/>
    </row>
    <row r="54" spans="1:13" ht="30">
      <c r="A54" s="396" t="s">
        <v>130</v>
      </c>
      <c r="B54" s="360"/>
      <c r="C54" s="413">
        <f t="shared" si="1"/>
        <v>0</v>
      </c>
      <c r="D54" s="397">
        <f t="shared" si="2"/>
        <v>0</v>
      </c>
      <c r="E54" s="374"/>
      <c r="F54" s="375"/>
      <c r="G54" s="375"/>
      <c r="H54" s="376"/>
      <c r="I54" s="376"/>
      <c r="J54" s="376"/>
      <c r="K54" s="376"/>
      <c r="L54" s="376"/>
      <c r="M54" s="377"/>
    </row>
    <row r="55" spans="1:13">
      <c r="A55" s="396" t="s">
        <v>99</v>
      </c>
      <c r="B55" s="360"/>
      <c r="C55" s="378"/>
      <c r="D55" s="397">
        <f t="shared" si="2"/>
        <v>0</v>
      </c>
      <c r="E55" s="374"/>
      <c r="F55" s="375"/>
      <c r="G55" s="375"/>
      <c r="H55" s="376"/>
      <c r="I55" s="376"/>
      <c r="J55" s="376"/>
      <c r="K55" s="376"/>
      <c r="L55" s="376"/>
      <c r="M55" s="377"/>
    </row>
    <row r="56" spans="1:13">
      <c r="A56" s="396" t="s">
        <v>100</v>
      </c>
      <c r="B56" s="360"/>
      <c r="C56" s="413">
        <f>C55</f>
        <v>0</v>
      </c>
      <c r="D56" s="397">
        <f t="shared" si="2"/>
        <v>0</v>
      </c>
      <c r="E56" s="374"/>
      <c r="F56" s="375"/>
      <c r="G56" s="375"/>
      <c r="H56" s="376"/>
      <c r="I56" s="376"/>
      <c r="J56" s="376"/>
      <c r="K56" s="376"/>
      <c r="L56" s="376"/>
      <c r="M56" s="377"/>
    </row>
    <row r="57" spans="1:13">
      <c r="A57" s="396" t="s">
        <v>133</v>
      </c>
      <c r="B57" s="360"/>
      <c r="C57" s="413">
        <f>C56</f>
        <v>0</v>
      </c>
      <c r="D57" s="397">
        <f t="shared" si="2"/>
        <v>0</v>
      </c>
      <c r="E57" s="374"/>
      <c r="F57" s="375"/>
      <c r="G57" s="375"/>
      <c r="H57" s="376"/>
      <c r="I57" s="376"/>
      <c r="J57" s="376"/>
      <c r="K57" s="376"/>
      <c r="L57" s="376"/>
      <c r="M57" s="377"/>
    </row>
    <row r="58" spans="1:13" ht="30">
      <c r="A58" s="396" t="s">
        <v>134</v>
      </c>
      <c r="B58" s="360"/>
      <c r="C58" s="413">
        <f>C57</f>
        <v>0</v>
      </c>
      <c r="D58" s="397">
        <f t="shared" si="2"/>
        <v>0</v>
      </c>
      <c r="E58" s="374"/>
      <c r="F58" s="375"/>
      <c r="G58" s="375"/>
      <c r="H58" s="376"/>
      <c r="I58" s="376"/>
      <c r="J58" s="376"/>
      <c r="K58" s="376"/>
      <c r="L58" s="376"/>
      <c r="M58" s="377"/>
    </row>
    <row r="59" spans="1:13" ht="30">
      <c r="A59" s="396" t="s">
        <v>135</v>
      </c>
      <c r="B59" s="360"/>
      <c r="C59" s="413">
        <f>C58</f>
        <v>0</v>
      </c>
      <c r="D59" s="397">
        <f t="shared" si="2"/>
        <v>0</v>
      </c>
      <c r="E59" s="374"/>
      <c r="F59" s="375"/>
      <c r="G59" s="375"/>
      <c r="H59" s="376"/>
      <c r="I59" s="376"/>
      <c r="J59" s="376"/>
      <c r="K59" s="376"/>
      <c r="L59" s="376"/>
      <c r="M59" s="377"/>
    </row>
    <row r="60" spans="1:13">
      <c r="A60" s="396" t="s">
        <v>104</v>
      </c>
      <c r="B60" s="360"/>
      <c r="C60" s="413">
        <f>C59</f>
        <v>0</v>
      </c>
      <c r="D60" s="397">
        <f t="shared" si="2"/>
        <v>0</v>
      </c>
      <c r="E60" s="374"/>
      <c r="F60" s="375"/>
      <c r="G60" s="375"/>
      <c r="H60" s="376"/>
      <c r="I60" s="376"/>
      <c r="J60" s="376"/>
      <c r="K60" s="376"/>
      <c r="L60" s="376"/>
      <c r="M60" s="377"/>
    </row>
    <row r="61" spans="1:13">
      <c r="A61" s="396" t="s">
        <v>106</v>
      </c>
      <c r="B61" s="854">
        <f>Interest!B8</f>
        <v>0</v>
      </c>
      <c r="C61" s="413">
        <v>0</v>
      </c>
      <c r="D61" s="397">
        <f t="shared" si="2"/>
        <v>0</v>
      </c>
      <c r="E61" s="869"/>
      <c r="F61" s="869"/>
      <c r="G61" s="869"/>
      <c r="H61" s="869"/>
      <c r="I61" s="869"/>
      <c r="J61" s="869"/>
      <c r="K61" s="869"/>
      <c r="L61" s="869"/>
      <c r="M61" s="869"/>
    </row>
    <row r="62" spans="1:13">
      <c r="A62" s="396" t="s">
        <v>151</v>
      </c>
      <c r="B62" s="363"/>
      <c r="C62" s="413">
        <v>0</v>
      </c>
      <c r="D62" s="397"/>
      <c r="E62" s="374"/>
      <c r="F62" s="375"/>
      <c r="G62" s="375"/>
      <c r="H62" s="376"/>
      <c r="I62" s="376"/>
      <c r="J62" s="376"/>
      <c r="K62" s="376"/>
      <c r="L62" s="376"/>
      <c r="M62" s="377"/>
    </row>
    <row r="63" spans="1:13">
      <c r="A63" s="396" t="s">
        <v>108</v>
      </c>
      <c r="B63" s="363"/>
      <c r="C63" s="413">
        <v>0</v>
      </c>
      <c r="D63" s="397"/>
      <c r="E63" s="374"/>
      <c r="F63" s="374"/>
      <c r="G63" s="374"/>
      <c r="H63" s="374"/>
      <c r="I63" s="374"/>
      <c r="J63" s="374"/>
      <c r="K63" s="374"/>
      <c r="L63" s="374"/>
      <c r="M63" s="374"/>
    </row>
    <row r="64" spans="1:13">
      <c r="A64" s="396" t="s">
        <v>109</v>
      </c>
      <c r="B64" s="360"/>
      <c r="C64" s="413">
        <v>0</v>
      </c>
      <c r="D64" s="397"/>
      <c r="E64" s="374"/>
      <c r="F64" s="375"/>
      <c r="G64" s="375"/>
      <c r="H64" s="376"/>
      <c r="I64" s="376"/>
      <c r="J64" s="376"/>
      <c r="K64" s="376"/>
      <c r="L64" s="376"/>
      <c r="M64" s="377"/>
    </row>
    <row r="65" spans="1:13">
      <c r="A65" s="396" t="s">
        <v>110</v>
      </c>
      <c r="B65" s="360"/>
      <c r="C65" s="413">
        <v>0</v>
      </c>
      <c r="D65" s="397"/>
      <c r="E65" s="374"/>
      <c r="F65" s="375"/>
      <c r="G65" s="375"/>
      <c r="H65" s="376"/>
      <c r="I65" s="376"/>
      <c r="J65" s="376"/>
      <c r="K65" s="376"/>
      <c r="L65" s="376"/>
      <c r="M65" s="377"/>
    </row>
    <row r="66" spans="1:13">
      <c r="A66" s="401" t="s">
        <v>166</v>
      </c>
      <c r="B66" s="379"/>
      <c r="C66" s="413">
        <v>0</v>
      </c>
      <c r="D66" s="397"/>
      <c r="E66" s="414"/>
      <c r="F66" s="397"/>
      <c r="G66" s="397"/>
      <c r="H66" s="415"/>
      <c r="I66" s="415"/>
      <c r="J66" s="415"/>
      <c r="K66" s="415"/>
      <c r="L66" s="415"/>
      <c r="M66" s="416"/>
    </row>
    <row r="67" spans="1:13">
      <c r="A67" s="396" t="s">
        <v>167</v>
      </c>
      <c r="B67" s="854"/>
      <c r="C67" s="413">
        <v>0</v>
      </c>
      <c r="D67" s="397"/>
      <c r="E67" s="414"/>
      <c r="F67" s="397"/>
      <c r="G67" s="397"/>
      <c r="H67" s="415"/>
      <c r="I67" s="415"/>
      <c r="J67" s="415"/>
      <c r="K67" s="415"/>
      <c r="L67" s="415"/>
      <c r="M67" s="416"/>
    </row>
    <row r="68" spans="1:13">
      <c r="A68" s="396" t="s">
        <v>169</v>
      </c>
      <c r="B68" s="360"/>
      <c r="C68" s="413">
        <v>0</v>
      </c>
      <c r="D68" s="397"/>
      <c r="E68" s="414"/>
      <c r="F68" s="397"/>
      <c r="G68" s="397"/>
      <c r="H68" s="415"/>
      <c r="I68" s="415"/>
      <c r="J68" s="415"/>
      <c r="K68" s="415"/>
      <c r="L68" s="415"/>
      <c r="M68" s="416"/>
    </row>
    <row r="69" spans="1:13" ht="15.75" thickBot="1">
      <c r="A69" s="399" t="s">
        <v>688</v>
      </c>
      <c r="B69" s="380"/>
      <c r="C69" s="417"/>
      <c r="D69" s="403"/>
      <c r="E69" s="418"/>
      <c r="F69" s="403"/>
      <c r="G69" s="403"/>
      <c r="H69" s="419"/>
      <c r="I69" s="419"/>
      <c r="J69" s="419"/>
      <c r="K69" s="419"/>
      <c r="L69" s="419"/>
      <c r="M69" s="420"/>
    </row>
    <row r="70" spans="1:13" ht="47.25">
      <c r="A70" s="421"/>
      <c r="B70" s="422" t="s">
        <v>450</v>
      </c>
      <c r="C70" s="423"/>
      <c r="D70" s="424"/>
      <c r="E70" s="769" t="s">
        <v>655</v>
      </c>
      <c r="F70" s="769"/>
      <c r="G70" s="769"/>
      <c r="H70" s="769"/>
      <c r="I70" s="769"/>
      <c r="J70" s="769"/>
      <c r="K70" s="769"/>
      <c r="L70" s="769"/>
      <c r="M70" s="769"/>
    </row>
    <row r="71" spans="1:13">
      <c r="A71" s="396" t="s">
        <v>162</v>
      </c>
      <c r="B71" s="381"/>
    </row>
    <row r="72" spans="1:13">
      <c r="A72" s="396" t="s">
        <v>163</v>
      </c>
      <c r="B72" s="381"/>
    </row>
    <row r="73" spans="1:13" ht="30">
      <c r="A73" s="396" t="s">
        <v>438</v>
      </c>
      <c r="B73" s="381"/>
    </row>
    <row r="74" spans="1:13" ht="15.75" thickBot="1">
      <c r="A74" s="399" t="s">
        <v>164</v>
      </c>
      <c r="B74" s="382"/>
    </row>
  </sheetData>
  <sheetProtection password="DA39" sheet="1" objects="1" scenarios="1" selectLockedCells="1"/>
  <mergeCells count="5">
    <mergeCell ref="F40:I40"/>
    <mergeCell ref="J40:M40"/>
    <mergeCell ref="A2:M2"/>
    <mergeCell ref="E70:M70"/>
    <mergeCell ref="E4:H4"/>
  </mergeCells>
  <printOptions horizontalCentered="1"/>
  <pageMargins left="0.25" right="0.25" top="0.75" bottom="0.75" header="0.3" footer="0.3"/>
  <pageSetup scale="70" fitToHeight="2" orientation="landscape" r:id="rId1"/>
  <headerFooter>
    <oddFooter>&amp;L&amp;F&amp;C&amp;P of &amp;N&amp;R&amp;A</oddFooter>
  </headerFooter>
  <rowBreaks count="1" manualBreakCount="1">
    <brk id="37" max="16383" man="1"/>
  </rowBreaks>
  <legacyDrawing r:id="rId2"/>
</worksheet>
</file>

<file path=xl/worksheets/sheet20.xml><?xml version="1.0" encoding="utf-8"?>
<worksheet xmlns="http://schemas.openxmlformats.org/spreadsheetml/2006/main" xmlns:r="http://schemas.openxmlformats.org/officeDocument/2006/relationships">
  <sheetPr>
    <pageSetUpPr fitToPage="1"/>
  </sheetPr>
  <dimension ref="A1:K35"/>
  <sheetViews>
    <sheetView showGridLines="0" workbookViewId="0">
      <selection activeCell="L3" sqref="L3"/>
    </sheetView>
  </sheetViews>
  <sheetFormatPr defaultRowHeight="15"/>
  <cols>
    <col min="1" max="1" width="31.28515625" style="176" bestFit="1" customWidth="1"/>
    <col min="2" max="9" width="12" style="176" customWidth="1"/>
    <col min="10" max="11" width="13.28515625" style="176" customWidth="1"/>
    <col min="12" max="16384" width="9.140625" style="176"/>
  </cols>
  <sheetData>
    <row r="1" spans="1:11" ht="16.5" thickBot="1">
      <c r="A1" s="807" t="s">
        <v>215</v>
      </c>
      <c r="B1" s="808"/>
      <c r="C1" s="808"/>
      <c r="D1" s="808"/>
      <c r="E1" s="808"/>
      <c r="F1" s="808"/>
      <c r="G1" s="808"/>
      <c r="H1" s="808"/>
      <c r="I1" s="808"/>
      <c r="J1" s="808"/>
      <c r="K1" s="809"/>
    </row>
    <row r="2" spans="1:11" ht="15.75" thickBot="1"/>
    <row r="3" spans="1:11" ht="15.75">
      <c r="A3" s="177" t="s">
        <v>216</v>
      </c>
      <c r="B3" s="760">
        <f>'1'!B21</f>
        <v>0</v>
      </c>
      <c r="C3" s="760">
        <f>B3+1</f>
        <v>1</v>
      </c>
      <c r="D3" s="760">
        <f>C3+1</f>
        <v>2</v>
      </c>
      <c r="E3" s="760">
        <f t="shared" ref="E3:K3" si="0">D3+1</f>
        <v>3</v>
      </c>
      <c r="F3" s="760">
        <f t="shared" si="0"/>
        <v>4</v>
      </c>
      <c r="G3" s="760">
        <f t="shared" si="0"/>
        <v>5</v>
      </c>
      <c r="H3" s="760">
        <f t="shared" si="0"/>
        <v>6</v>
      </c>
      <c r="I3" s="760">
        <f t="shared" si="0"/>
        <v>7</v>
      </c>
      <c r="J3" s="760">
        <f t="shared" si="0"/>
        <v>8</v>
      </c>
      <c r="K3" s="179">
        <f t="shared" si="0"/>
        <v>9</v>
      </c>
    </row>
    <row r="4" spans="1:11" ht="16.5" thickBot="1">
      <c r="A4" s="187" t="s">
        <v>227</v>
      </c>
      <c r="B4" s="223" t="e">
        <f>'13'!L61</f>
        <v>#DIV/0!</v>
      </c>
      <c r="C4" s="223" t="e">
        <f>'13'!L62</f>
        <v>#DIV/0!</v>
      </c>
      <c r="D4" s="223" t="e">
        <f>'13'!L63</f>
        <v>#DIV/0!</v>
      </c>
      <c r="E4" s="223" t="e">
        <f>D4</f>
        <v>#DIV/0!</v>
      </c>
      <c r="F4" s="223" t="e">
        <f t="shared" ref="F4:K6" si="1">E4</f>
        <v>#DIV/0!</v>
      </c>
      <c r="G4" s="223" t="e">
        <f t="shared" si="1"/>
        <v>#DIV/0!</v>
      </c>
      <c r="H4" s="223" t="e">
        <f t="shared" si="1"/>
        <v>#DIV/0!</v>
      </c>
      <c r="I4" s="223" t="e">
        <f t="shared" si="1"/>
        <v>#DIV/0!</v>
      </c>
      <c r="J4" s="223" t="e">
        <f t="shared" si="1"/>
        <v>#DIV/0!</v>
      </c>
      <c r="K4" s="224" t="e">
        <f t="shared" si="1"/>
        <v>#DIV/0!</v>
      </c>
    </row>
    <row r="5" spans="1:11">
      <c r="A5" s="176" t="s">
        <v>228</v>
      </c>
      <c r="B5" s="39" t="e">
        <f>'11'!F34</f>
        <v>#DIV/0!</v>
      </c>
      <c r="C5" s="39" t="e">
        <f>'11'!G34</f>
        <v>#DIV/0!</v>
      </c>
      <c r="D5" s="39" t="e">
        <f>'11'!H34</f>
        <v>#DIV/0!</v>
      </c>
      <c r="E5" s="39" t="e">
        <f>'11'!I34</f>
        <v>#DIV/0!</v>
      </c>
      <c r="F5" s="39" t="e">
        <f>'11'!J34</f>
        <v>#DIV/0!</v>
      </c>
      <c r="G5" s="39" t="e">
        <f>F5</f>
        <v>#DIV/0!</v>
      </c>
      <c r="H5" s="39" t="e">
        <f t="shared" si="1"/>
        <v>#DIV/0!</v>
      </c>
      <c r="I5" s="39" t="e">
        <f t="shared" si="1"/>
        <v>#DIV/0!</v>
      </c>
      <c r="J5" s="39" t="e">
        <f t="shared" si="1"/>
        <v>#DIV/0!</v>
      </c>
      <c r="K5" s="39" t="e">
        <f t="shared" si="1"/>
        <v>#DIV/0!</v>
      </c>
    </row>
    <row r="6" spans="1:11">
      <c r="A6" s="176" t="s">
        <v>229</v>
      </c>
      <c r="B6" s="194">
        <f>Financials!B7</f>
        <v>0</v>
      </c>
      <c r="C6" s="194">
        <f>Financials!C7</f>
        <v>0</v>
      </c>
      <c r="D6" s="194">
        <f>Financials!D7</f>
        <v>0</v>
      </c>
      <c r="E6" s="194">
        <f>Financials!E7</f>
        <v>0</v>
      </c>
      <c r="F6" s="194">
        <f>Financials!F7</f>
        <v>0</v>
      </c>
      <c r="G6" s="194">
        <f>F6</f>
        <v>0</v>
      </c>
      <c r="H6" s="194">
        <f t="shared" si="1"/>
        <v>0</v>
      </c>
      <c r="I6" s="194">
        <f t="shared" si="1"/>
        <v>0</v>
      </c>
      <c r="J6" s="194">
        <f t="shared" si="1"/>
        <v>0</v>
      </c>
      <c r="K6" s="194">
        <f t="shared" si="1"/>
        <v>0</v>
      </c>
    </row>
    <row r="7" spans="1:11" s="45" customFormat="1" ht="15.75">
      <c r="A7" s="45" t="s">
        <v>230</v>
      </c>
      <c r="B7" s="45" t="e">
        <f>B6*B5*B$4</f>
        <v>#DIV/0!</v>
      </c>
      <c r="C7" s="45" t="e">
        <f t="shared" ref="C7:K7" si="2">C6*C5*C$4</f>
        <v>#DIV/0!</v>
      </c>
      <c r="D7" s="45" t="e">
        <f t="shared" si="2"/>
        <v>#DIV/0!</v>
      </c>
      <c r="E7" s="45" t="e">
        <f t="shared" si="2"/>
        <v>#DIV/0!</v>
      </c>
      <c r="F7" s="45" t="e">
        <f t="shared" si="2"/>
        <v>#DIV/0!</v>
      </c>
      <c r="G7" s="45" t="e">
        <f t="shared" si="2"/>
        <v>#DIV/0!</v>
      </c>
      <c r="H7" s="45" t="e">
        <f t="shared" si="2"/>
        <v>#DIV/0!</v>
      </c>
      <c r="I7" s="45" t="e">
        <f t="shared" si="2"/>
        <v>#DIV/0!</v>
      </c>
      <c r="J7" s="45" t="e">
        <f t="shared" si="2"/>
        <v>#DIV/0!</v>
      </c>
      <c r="K7" s="45" t="e">
        <f t="shared" si="2"/>
        <v>#DIV/0!</v>
      </c>
    </row>
    <row r="8" spans="1:11">
      <c r="A8" s="176" t="s">
        <v>231</v>
      </c>
      <c r="B8" s="39" t="e">
        <f>'11'!F35</f>
        <v>#DIV/0!</v>
      </c>
      <c r="C8" s="39" t="e">
        <f>'11'!G35</f>
        <v>#DIV/0!</v>
      </c>
      <c r="D8" s="39" t="e">
        <f>'11'!H35</f>
        <v>#DIV/0!</v>
      </c>
      <c r="E8" s="39" t="e">
        <f>'11'!I35</f>
        <v>#DIV/0!</v>
      </c>
      <c r="F8" s="39" t="e">
        <f>'11'!J35</f>
        <v>#DIV/0!</v>
      </c>
      <c r="G8" s="39" t="e">
        <f>F8</f>
        <v>#DIV/0!</v>
      </c>
      <c r="H8" s="39" t="e">
        <f t="shared" ref="H8:H9" si="3">G8</f>
        <v>#DIV/0!</v>
      </c>
      <c r="I8" s="39" t="e">
        <f t="shared" ref="I8:I9" si="4">H8</f>
        <v>#DIV/0!</v>
      </c>
      <c r="J8" s="39" t="e">
        <f t="shared" ref="J8:J9" si="5">I8</f>
        <v>#DIV/0!</v>
      </c>
      <c r="K8" s="39" t="e">
        <f t="shared" ref="K8:K9" si="6">J8</f>
        <v>#DIV/0!</v>
      </c>
    </row>
    <row r="9" spans="1:11">
      <c r="A9" s="176" t="s">
        <v>229</v>
      </c>
      <c r="B9" s="194">
        <f>Financials!B8</f>
        <v>0</v>
      </c>
      <c r="C9" s="194">
        <f>Financials!C8</f>
        <v>0</v>
      </c>
      <c r="D9" s="194">
        <f>Financials!D8</f>
        <v>0</v>
      </c>
      <c r="E9" s="194">
        <f>Financials!E8</f>
        <v>0</v>
      </c>
      <c r="F9" s="194">
        <f>Financials!F8</f>
        <v>0</v>
      </c>
      <c r="G9" s="194">
        <f>F9</f>
        <v>0</v>
      </c>
      <c r="H9" s="194">
        <f t="shared" si="3"/>
        <v>0</v>
      </c>
      <c r="I9" s="194">
        <f t="shared" si="4"/>
        <v>0</v>
      </c>
      <c r="J9" s="194">
        <f t="shared" si="5"/>
        <v>0</v>
      </c>
      <c r="K9" s="194">
        <f t="shared" si="6"/>
        <v>0</v>
      </c>
    </row>
    <row r="10" spans="1:11" s="196" customFormat="1" ht="15.75">
      <c r="A10" s="196" t="s">
        <v>230</v>
      </c>
      <c r="B10" s="45" t="e">
        <f>B9*B8*B$4</f>
        <v>#DIV/0!</v>
      </c>
      <c r="C10" s="45" t="e">
        <f t="shared" ref="C10:K10" si="7">C9*C8*C$4</f>
        <v>#DIV/0!</v>
      </c>
      <c r="D10" s="45" t="e">
        <f t="shared" si="7"/>
        <v>#DIV/0!</v>
      </c>
      <c r="E10" s="45" t="e">
        <f t="shared" si="7"/>
        <v>#DIV/0!</v>
      </c>
      <c r="F10" s="45" t="e">
        <f t="shared" si="7"/>
        <v>#DIV/0!</v>
      </c>
      <c r="G10" s="45" t="e">
        <f t="shared" si="7"/>
        <v>#DIV/0!</v>
      </c>
      <c r="H10" s="45" t="e">
        <f t="shared" si="7"/>
        <v>#DIV/0!</v>
      </c>
      <c r="I10" s="45" t="e">
        <f t="shared" si="7"/>
        <v>#DIV/0!</v>
      </c>
      <c r="J10" s="45" t="e">
        <f t="shared" si="7"/>
        <v>#DIV/0!</v>
      </c>
      <c r="K10" s="45" t="e">
        <f t="shared" si="7"/>
        <v>#DIV/0!</v>
      </c>
    </row>
    <row r="11" spans="1:11">
      <c r="A11" s="176" t="s">
        <v>232</v>
      </c>
      <c r="B11" s="39" t="e">
        <f>'11'!F36</f>
        <v>#DIV/0!</v>
      </c>
      <c r="C11" s="39" t="e">
        <f>'11'!G36</f>
        <v>#DIV/0!</v>
      </c>
      <c r="D11" s="39" t="e">
        <f>'11'!H36</f>
        <v>#DIV/0!</v>
      </c>
      <c r="E11" s="39" t="e">
        <f>'11'!I36</f>
        <v>#DIV/0!</v>
      </c>
      <c r="F11" s="39" t="e">
        <f>'11'!J36</f>
        <v>#DIV/0!</v>
      </c>
      <c r="G11" s="39" t="e">
        <f>F11</f>
        <v>#DIV/0!</v>
      </c>
      <c r="H11" s="39" t="e">
        <f t="shared" ref="H11:H12" si="8">G11</f>
        <v>#DIV/0!</v>
      </c>
      <c r="I11" s="39" t="e">
        <f t="shared" ref="I11:I12" si="9">H11</f>
        <v>#DIV/0!</v>
      </c>
      <c r="J11" s="39" t="e">
        <f t="shared" ref="J11:J12" si="10">I11</f>
        <v>#DIV/0!</v>
      </c>
      <c r="K11" s="39" t="e">
        <f t="shared" ref="K11:K12" si="11">J11</f>
        <v>#DIV/0!</v>
      </c>
    </row>
    <row r="12" spans="1:11">
      <c r="A12" s="176" t="s">
        <v>229</v>
      </c>
      <c r="B12" s="194">
        <f>Financials!B9</f>
        <v>0</v>
      </c>
      <c r="C12" s="194">
        <f>Financials!C9</f>
        <v>0</v>
      </c>
      <c r="D12" s="194">
        <f>Financials!D9</f>
        <v>0</v>
      </c>
      <c r="E12" s="194">
        <f>Financials!E9</f>
        <v>0</v>
      </c>
      <c r="F12" s="194">
        <f>Financials!F9</f>
        <v>0</v>
      </c>
      <c r="G12" s="194">
        <f>F12</f>
        <v>0</v>
      </c>
      <c r="H12" s="194">
        <f t="shared" si="8"/>
        <v>0</v>
      </c>
      <c r="I12" s="194">
        <f t="shared" si="9"/>
        <v>0</v>
      </c>
      <c r="J12" s="194">
        <f t="shared" si="10"/>
        <v>0</v>
      </c>
      <c r="K12" s="194">
        <f t="shared" si="11"/>
        <v>0</v>
      </c>
    </row>
    <row r="13" spans="1:11" s="196" customFormat="1" ht="15.75">
      <c r="A13" s="196" t="s">
        <v>230</v>
      </c>
      <c r="B13" s="45" t="e">
        <f t="shared" ref="B13:K13" si="12">B12*B11*B$4</f>
        <v>#DIV/0!</v>
      </c>
      <c r="C13" s="45" t="e">
        <f t="shared" si="12"/>
        <v>#DIV/0!</v>
      </c>
      <c r="D13" s="45" t="e">
        <f t="shared" si="12"/>
        <v>#DIV/0!</v>
      </c>
      <c r="E13" s="45" t="e">
        <f t="shared" si="12"/>
        <v>#DIV/0!</v>
      </c>
      <c r="F13" s="45" t="e">
        <f t="shared" si="12"/>
        <v>#DIV/0!</v>
      </c>
      <c r="G13" s="45" t="e">
        <f t="shared" si="12"/>
        <v>#DIV/0!</v>
      </c>
      <c r="H13" s="45" t="e">
        <f t="shared" si="12"/>
        <v>#DIV/0!</v>
      </c>
      <c r="I13" s="45" t="e">
        <f t="shared" si="12"/>
        <v>#DIV/0!</v>
      </c>
      <c r="J13" s="45" t="e">
        <f t="shared" si="12"/>
        <v>#DIV/0!</v>
      </c>
      <c r="K13" s="45" t="e">
        <f t="shared" si="12"/>
        <v>#DIV/0!</v>
      </c>
    </row>
    <row r="14" spans="1:11">
      <c r="A14" s="176" t="s">
        <v>233</v>
      </c>
      <c r="B14" s="39" t="e">
        <f>'11'!F37</f>
        <v>#DIV/0!</v>
      </c>
      <c r="C14" s="39" t="e">
        <f>'11'!G37</f>
        <v>#DIV/0!</v>
      </c>
      <c r="D14" s="39" t="e">
        <f>'11'!H37</f>
        <v>#DIV/0!</v>
      </c>
      <c r="E14" s="39" t="e">
        <f>'11'!I37</f>
        <v>#DIV/0!</v>
      </c>
      <c r="F14" s="39" t="e">
        <f>'11'!J37</f>
        <v>#DIV/0!</v>
      </c>
      <c r="G14" s="39" t="e">
        <f>F14</f>
        <v>#DIV/0!</v>
      </c>
      <c r="H14" s="39" t="e">
        <f t="shared" ref="H14:H15" si="13">G14</f>
        <v>#DIV/0!</v>
      </c>
      <c r="I14" s="39" t="e">
        <f t="shared" ref="I14:I15" si="14">H14</f>
        <v>#DIV/0!</v>
      </c>
      <c r="J14" s="39" t="e">
        <f t="shared" ref="J14:J15" si="15">I14</f>
        <v>#DIV/0!</v>
      </c>
      <c r="K14" s="39" t="e">
        <f t="shared" ref="K14:K15" si="16">J14</f>
        <v>#DIV/0!</v>
      </c>
    </row>
    <row r="15" spans="1:11">
      <c r="A15" s="176" t="s">
        <v>229</v>
      </c>
      <c r="B15" s="194">
        <f>Financials!B10</f>
        <v>0</v>
      </c>
      <c r="C15" s="194">
        <f>Financials!C10</f>
        <v>0</v>
      </c>
      <c r="D15" s="194">
        <f>Financials!D10</f>
        <v>0</v>
      </c>
      <c r="E15" s="194">
        <f>Financials!E10</f>
        <v>0</v>
      </c>
      <c r="F15" s="194">
        <f>Financials!F10</f>
        <v>0</v>
      </c>
      <c r="G15" s="194">
        <f>F15</f>
        <v>0</v>
      </c>
      <c r="H15" s="194">
        <f t="shared" si="13"/>
        <v>0</v>
      </c>
      <c r="I15" s="194">
        <f t="shared" si="14"/>
        <v>0</v>
      </c>
      <c r="J15" s="194">
        <f t="shared" si="15"/>
        <v>0</v>
      </c>
      <c r="K15" s="194">
        <f t="shared" si="16"/>
        <v>0</v>
      </c>
    </row>
    <row r="16" spans="1:11" s="196" customFormat="1" ht="15.75">
      <c r="A16" s="196" t="s">
        <v>230</v>
      </c>
      <c r="B16" s="45" t="e">
        <f t="shared" ref="B16:K16" si="17">B15*B14*B$4</f>
        <v>#DIV/0!</v>
      </c>
      <c r="C16" s="45" t="e">
        <f t="shared" si="17"/>
        <v>#DIV/0!</v>
      </c>
      <c r="D16" s="45" t="e">
        <f t="shared" si="17"/>
        <v>#DIV/0!</v>
      </c>
      <c r="E16" s="45" t="e">
        <f t="shared" si="17"/>
        <v>#DIV/0!</v>
      </c>
      <c r="F16" s="45" t="e">
        <f t="shared" si="17"/>
        <v>#DIV/0!</v>
      </c>
      <c r="G16" s="45" t="e">
        <f t="shared" si="17"/>
        <v>#DIV/0!</v>
      </c>
      <c r="H16" s="45" t="e">
        <f t="shared" si="17"/>
        <v>#DIV/0!</v>
      </c>
      <c r="I16" s="45" t="e">
        <f t="shared" si="17"/>
        <v>#DIV/0!</v>
      </c>
      <c r="J16" s="45" t="e">
        <f t="shared" si="17"/>
        <v>#DIV/0!</v>
      </c>
      <c r="K16" s="45" t="e">
        <f t="shared" si="17"/>
        <v>#DIV/0!</v>
      </c>
    </row>
    <row r="17" spans="1:11">
      <c r="A17" s="176" t="s">
        <v>439</v>
      </c>
      <c r="B17" s="39" t="e">
        <f>'11'!F38</f>
        <v>#DIV/0!</v>
      </c>
      <c r="C17" s="39" t="e">
        <f>'11'!G38</f>
        <v>#DIV/0!</v>
      </c>
      <c r="D17" s="39" t="e">
        <f>'11'!H38</f>
        <v>#DIV/0!</v>
      </c>
      <c r="E17" s="39" t="e">
        <f>'11'!I38</f>
        <v>#DIV/0!</v>
      </c>
      <c r="F17" s="39" t="e">
        <f>'11'!J38</f>
        <v>#DIV/0!</v>
      </c>
      <c r="G17" s="39" t="e">
        <f>F17</f>
        <v>#DIV/0!</v>
      </c>
      <c r="H17" s="39" t="e">
        <f t="shared" ref="H17:H18" si="18">G17</f>
        <v>#DIV/0!</v>
      </c>
      <c r="I17" s="39" t="e">
        <f t="shared" ref="I17:I18" si="19">H17</f>
        <v>#DIV/0!</v>
      </c>
      <c r="J17" s="39" t="e">
        <f t="shared" ref="J17:J18" si="20">I17</f>
        <v>#DIV/0!</v>
      </c>
      <c r="K17" s="39" t="e">
        <f t="shared" ref="K17:K18" si="21">J17</f>
        <v>#DIV/0!</v>
      </c>
    </row>
    <row r="18" spans="1:11">
      <c r="A18" s="176" t="s">
        <v>229</v>
      </c>
      <c r="B18" s="194">
        <f>Financials!B11</f>
        <v>0</v>
      </c>
      <c r="C18" s="194">
        <f>Financials!C11</f>
        <v>0</v>
      </c>
      <c r="D18" s="194">
        <f>Financials!D11</f>
        <v>0</v>
      </c>
      <c r="E18" s="194">
        <f>Financials!E11</f>
        <v>0</v>
      </c>
      <c r="F18" s="194">
        <f>Financials!F11</f>
        <v>0</v>
      </c>
      <c r="G18" s="194">
        <f>F18</f>
        <v>0</v>
      </c>
      <c r="H18" s="194">
        <f t="shared" si="18"/>
        <v>0</v>
      </c>
      <c r="I18" s="194">
        <f t="shared" si="19"/>
        <v>0</v>
      </c>
      <c r="J18" s="194">
        <f t="shared" si="20"/>
        <v>0</v>
      </c>
      <c r="K18" s="194">
        <f t="shared" si="21"/>
        <v>0</v>
      </c>
    </row>
    <row r="19" spans="1:11" s="196" customFormat="1" ht="15.75">
      <c r="A19" s="196" t="s">
        <v>230</v>
      </c>
      <c r="B19" s="45" t="e">
        <f t="shared" ref="B19:K19" si="22">B18*B17*B$4</f>
        <v>#DIV/0!</v>
      </c>
      <c r="C19" s="45" t="e">
        <f t="shared" si="22"/>
        <v>#DIV/0!</v>
      </c>
      <c r="D19" s="45" t="e">
        <f t="shared" si="22"/>
        <v>#DIV/0!</v>
      </c>
      <c r="E19" s="45" t="e">
        <f t="shared" si="22"/>
        <v>#DIV/0!</v>
      </c>
      <c r="F19" s="45" t="e">
        <f t="shared" si="22"/>
        <v>#DIV/0!</v>
      </c>
      <c r="G19" s="45" t="e">
        <f t="shared" si="22"/>
        <v>#DIV/0!</v>
      </c>
      <c r="H19" s="45" t="e">
        <f t="shared" si="22"/>
        <v>#DIV/0!</v>
      </c>
      <c r="I19" s="45" t="e">
        <f t="shared" si="22"/>
        <v>#DIV/0!</v>
      </c>
      <c r="J19" s="45" t="e">
        <f t="shared" si="22"/>
        <v>#DIV/0!</v>
      </c>
      <c r="K19" s="45" t="e">
        <f t="shared" si="22"/>
        <v>#DIV/0!</v>
      </c>
    </row>
    <row r="20" spans="1:11">
      <c r="A20" s="176" t="s">
        <v>235</v>
      </c>
      <c r="B20" s="225" t="e">
        <f>'11'!F39</f>
        <v>#DIV/0!</v>
      </c>
      <c r="C20" s="225" t="e">
        <f>'11'!G39</f>
        <v>#DIV/0!</v>
      </c>
      <c r="D20" s="225" t="e">
        <f>'11'!H39</f>
        <v>#DIV/0!</v>
      </c>
      <c r="E20" s="225" t="e">
        <f>'11'!I39</f>
        <v>#DIV/0!</v>
      </c>
      <c r="F20" s="225" t="e">
        <f>'11'!J39</f>
        <v>#DIV/0!</v>
      </c>
      <c r="G20" s="39" t="e">
        <f>F20</f>
        <v>#DIV/0!</v>
      </c>
      <c r="H20" s="39" t="e">
        <f t="shared" ref="H20:H21" si="23">G20</f>
        <v>#DIV/0!</v>
      </c>
      <c r="I20" s="39" t="e">
        <f t="shared" ref="I20:I21" si="24">H20</f>
        <v>#DIV/0!</v>
      </c>
      <c r="J20" s="39" t="e">
        <f t="shared" ref="J20:J21" si="25">I20</f>
        <v>#DIV/0!</v>
      </c>
      <c r="K20" s="39" t="e">
        <f t="shared" ref="K20:K21" si="26">J20</f>
        <v>#DIV/0!</v>
      </c>
    </row>
    <row r="21" spans="1:11">
      <c r="A21" s="176" t="s">
        <v>229</v>
      </c>
      <c r="B21" s="225">
        <f>Financials!B12</f>
        <v>0</v>
      </c>
      <c r="C21" s="226">
        <f>Financials!C12</f>
        <v>0</v>
      </c>
      <c r="D21" s="226">
        <f>Financials!D12</f>
        <v>0</v>
      </c>
      <c r="E21" s="226">
        <f>Financials!E12</f>
        <v>0</v>
      </c>
      <c r="F21" s="226">
        <f>Financials!F12</f>
        <v>0</v>
      </c>
      <c r="G21" s="194">
        <f>F21</f>
        <v>0</v>
      </c>
      <c r="H21" s="194">
        <f t="shared" si="23"/>
        <v>0</v>
      </c>
      <c r="I21" s="194">
        <f t="shared" si="24"/>
        <v>0</v>
      </c>
      <c r="J21" s="194">
        <f t="shared" si="25"/>
        <v>0</v>
      </c>
      <c r="K21" s="194">
        <f t="shared" si="26"/>
        <v>0</v>
      </c>
    </row>
    <row r="22" spans="1:11" s="196" customFormat="1" ht="15.75">
      <c r="A22" s="196" t="s">
        <v>230</v>
      </c>
      <c r="B22" s="45" t="e">
        <f t="shared" ref="B22:K22" si="27">B21*B20*B$4</f>
        <v>#DIV/0!</v>
      </c>
      <c r="C22" s="45" t="e">
        <f t="shared" si="27"/>
        <v>#DIV/0!</v>
      </c>
      <c r="D22" s="45" t="e">
        <f t="shared" si="27"/>
        <v>#DIV/0!</v>
      </c>
      <c r="E22" s="45" t="e">
        <f t="shared" si="27"/>
        <v>#DIV/0!</v>
      </c>
      <c r="F22" s="45" t="e">
        <f t="shared" si="27"/>
        <v>#DIV/0!</v>
      </c>
      <c r="G22" s="45" t="e">
        <f t="shared" si="27"/>
        <v>#DIV/0!</v>
      </c>
      <c r="H22" s="45" t="e">
        <f t="shared" si="27"/>
        <v>#DIV/0!</v>
      </c>
      <c r="I22" s="45" t="e">
        <f t="shared" si="27"/>
        <v>#DIV/0!</v>
      </c>
      <c r="J22" s="45" t="e">
        <f t="shared" si="27"/>
        <v>#DIV/0!</v>
      </c>
      <c r="K22" s="45" t="e">
        <f t="shared" si="27"/>
        <v>#DIV/0!</v>
      </c>
    </row>
    <row r="23" spans="1:11">
      <c r="A23" s="176" t="s">
        <v>598</v>
      </c>
      <c r="B23" s="39" t="e">
        <f>'11'!F40</f>
        <v>#DIV/0!</v>
      </c>
      <c r="C23" s="39" t="e">
        <f>'11'!G40</f>
        <v>#DIV/0!</v>
      </c>
      <c r="D23" s="39" t="e">
        <f>'11'!H40</f>
        <v>#DIV/0!</v>
      </c>
      <c r="E23" s="39" t="e">
        <f>'11'!I40</f>
        <v>#DIV/0!</v>
      </c>
      <c r="F23" s="39" t="e">
        <f>'11'!J40</f>
        <v>#DIV/0!</v>
      </c>
      <c r="G23" s="39" t="e">
        <f>F23</f>
        <v>#DIV/0!</v>
      </c>
      <c r="H23" s="39" t="e">
        <f t="shared" ref="H23:H24" si="28">G23</f>
        <v>#DIV/0!</v>
      </c>
      <c r="I23" s="39" t="e">
        <f t="shared" ref="I23:I24" si="29">H23</f>
        <v>#DIV/0!</v>
      </c>
      <c r="J23" s="39" t="e">
        <f t="shared" ref="J23:J24" si="30">I23</f>
        <v>#DIV/0!</v>
      </c>
      <c r="K23" s="39" t="e">
        <f t="shared" ref="K23:K24" si="31">J23</f>
        <v>#DIV/0!</v>
      </c>
    </row>
    <row r="24" spans="1:11">
      <c r="A24" s="176" t="s">
        <v>229</v>
      </c>
      <c r="B24" s="194">
        <f>Financials!B13</f>
        <v>0</v>
      </c>
      <c r="C24" s="194">
        <f>Financials!C13</f>
        <v>0</v>
      </c>
      <c r="D24" s="194">
        <f>Financials!D13</f>
        <v>0</v>
      </c>
      <c r="E24" s="194">
        <f>Financials!E13</f>
        <v>0</v>
      </c>
      <c r="F24" s="194">
        <f>Financials!F13</f>
        <v>0</v>
      </c>
      <c r="G24" s="194">
        <f>F24</f>
        <v>0</v>
      </c>
      <c r="H24" s="194">
        <f t="shared" si="28"/>
        <v>0</v>
      </c>
      <c r="I24" s="194">
        <f t="shared" si="29"/>
        <v>0</v>
      </c>
      <c r="J24" s="194">
        <f t="shared" si="30"/>
        <v>0</v>
      </c>
      <c r="K24" s="194">
        <f t="shared" si="31"/>
        <v>0</v>
      </c>
    </row>
    <row r="25" spans="1:11" s="196" customFormat="1" ht="15.75">
      <c r="A25" s="196" t="s">
        <v>230</v>
      </c>
      <c r="B25" s="45" t="e">
        <f t="shared" ref="B25:K25" si="32">B24*B23*B$4</f>
        <v>#DIV/0!</v>
      </c>
      <c r="C25" s="45" t="e">
        <f t="shared" si="32"/>
        <v>#DIV/0!</v>
      </c>
      <c r="D25" s="45" t="e">
        <f t="shared" si="32"/>
        <v>#DIV/0!</v>
      </c>
      <c r="E25" s="45" t="e">
        <f t="shared" si="32"/>
        <v>#DIV/0!</v>
      </c>
      <c r="F25" s="45" t="e">
        <f t="shared" si="32"/>
        <v>#DIV/0!</v>
      </c>
      <c r="G25" s="45" t="e">
        <f t="shared" si="32"/>
        <v>#DIV/0!</v>
      </c>
      <c r="H25" s="45" t="e">
        <f t="shared" si="32"/>
        <v>#DIV/0!</v>
      </c>
      <c r="I25" s="45" t="e">
        <f t="shared" si="32"/>
        <v>#DIV/0!</v>
      </c>
      <c r="J25" s="45" t="e">
        <f t="shared" si="32"/>
        <v>#DIV/0!</v>
      </c>
      <c r="K25" s="45" t="e">
        <f t="shared" si="32"/>
        <v>#DIV/0!</v>
      </c>
    </row>
    <row r="26" spans="1:11">
      <c r="A26" s="176" t="s">
        <v>234</v>
      </c>
      <c r="B26" s="225" t="e">
        <f>'11'!F41</f>
        <v>#DIV/0!</v>
      </c>
      <c r="C26" s="225" t="e">
        <f>'11'!G41</f>
        <v>#DIV/0!</v>
      </c>
      <c r="D26" s="225" t="e">
        <f>'11'!H41</f>
        <v>#DIV/0!</v>
      </c>
      <c r="E26" s="225" t="e">
        <f>'11'!I41</f>
        <v>#DIV/0!</v>
      </c>
      <c r="F26" s="225" t="e">
        <f>'11'!J41</f>
        <v>#DIV/0!</v>
      </c>
      <c r="G26" s="39" t="e">
        <f>F26</f>
        <v>#DIV/0!</v>
      </c>
      <c r="H26" s="39" t="e">
        <f t="shared" ref="H26:H27" si="33">G26</f>
        <v>#DIV/0!</v>
      </c>
      <c r="I26" s="39" t="e">
        <f t="shared" ref="I26:I27" si="34">H26</f>
        <v>#DIV/0!</v>
      </c>
      <c r="J26" s="39" t="e">
        <f t="shared" ref="J26:J27" si="35">I26</f>
        <v>#DIV/0!</v>
      </c>
      <c r="K26" s="39" t="e">
        <f t="shared" ref="K26:K27" si="36">J26</f>
        <v>#DIV/0!</v>
      </c>
    </row>
    <row r="27" spans="1:11">
      <c r="A27" s="176" t="s">
        <v>229</v>
      </c>
      <c r="B27" s="226">
        <f>Financials!B14</f>
        <v>0</v>
      </c>
      <c r="C27" s="226">
        <f>Financials!C14</f>
        <v>0</v>
      </c>
      <c r="D27" s="226">
        <f>Financials!D14</f>
        <v>0</v>
      </c>
      <c r="E27" s="226">
        <f>Financials!E14</f>
        <v>0</v>
      </c>
      <c r="F27" s="226">
        <f>Financials!F14</f>
        <v>0</v>
      </c>
      <c r="G27" s="194">
        <f>F27</f>
        <v>0</v>
      </c>
      <c r="H27" s="194">
        <f t="shared" si="33"/>
        <v>0</v>
      </c>
      <c r="I27" s="194">
        <f t="shared" si="34"/>
        <v>0</v>
      </c>
      <c r="J27" s="194">
        <f t="shared" si="35"/>
        <v>0</v>
      </c>
      <c r="K27" s="194">
        <f t="shared" si="36"/>
        <v>0</v>
      </c>
    </row>
    <row r="28" spans="1:11" s="196" customFormat="1" ht="15.75">
      <c r="A28" s="196" t="s">
        <v>230</v>
      </c>
      <c r="B28" s="45" t="e">
        <f t="shared" ref="B28" si="37">B27*B26*B$4</f>
        <v>#DIV/0!</v>
      </c>
      <c r="C28" s="45" t="e">
        <f t="shared" ref="C28" si="38">C27*C26*C$4</f>
        <v>#DIV/0!</v>
      </c>
      <c r="D28" s="45" t="e">
        <f t="shared" ref="D28" si="39">D27*D26*D$4</f>
        <v>#DIV/0!</v>
      </c>
      <c r="E28" s="45" t="e">
        <f t="shared" ref="E28" si="40">E27*E26*E$4</f>
        <v>#DIV/0!</v>
      </c>
      <c r="F28" s="45" t="e">
        <f t="shared" ref="F28" si="41">F27*F26*F$4</f>
        <v>#DIV/0!</v>
      </c>
      <c r="G28" s="45" t="e">
        <f t="shared" ref="G28" si="42">G27*G26*G$4</f>
        <v>#DIV/0!</v>
      </c>
      <c r="H28" s="45" t="e">
        <f t="shared" ref="H28" si="43">H27*H26*H$4</f>
        <v>#DIV/0!</v>
      </c>
      <c r="I28" s="45" t="e">
        <f t="shared" ref="I28" si="44">I27*I26*I$4</f>
        <v>#DIV/0!</v>
      </c>
      <c r="J28" s="45" t="e">
        <f t="shared" ref="J28" si="45">J27*J26*J$4</f>
        <v>#DIV/0!</v>
      </c>
      <c r="K28" s="45" t="e">
        <f t="shared" ref="K28" si="46">K27*K26*K$4</f>
        <v>#DIV/0!</v>
      </c>
    </row>
    <row r="29" spans="1:11" s="196" customFormat="1" ht="15.75">
      <c r="A29" s="176"/>
      <c r="B29" s="39"/>
      <c r="C29" s="39"/>
      <c r="D29" s="39"/>
      <c r="E29" s="39"/>
      <c r="F29" s="39"/>
      <c r="G29" s="39"/>
      <c r="H29" s="39"/>
      <c r="I29" s="39"/>
      <c r="J29" s="39"/>
      <c r="K29" s="39"/>
    </row>
    <row r="30" spans="1:11" s="196" customFormat="1" ht="15.75">
      <c r="A30" s="196" t="s">
        <v>236</v>
      </c>
      <c r="B30" s="221" t="e">
        <f>B7+B10+B13+B16+B19+B22+B25+B28</f>
        <v>#DIV/0!</v>
      </c>
      <c r="C30" s="221" t="e">
        <f t="shared" ref="C30:K30" si="47">C7+C10+C13+C16+C19+C22+C25+C28</f>
        <v>#DIV/0!</v>
      </c>
      <c r="D30" s="221" t="e">
        <f t="shared" si="47"/>
        <v>#DIV/0!</v>
      </c>
      <c r="E30" s="221" t="e">
        <f t="shared" si="47"/>
        <v>#DIV/0!</v>
      </c>
      <c r="F30" s="221" t="e">
        <f t="shared" si="47"/>
        <v>#DIV/0!</v>
      </c>
      <c r="G30" s="221" t="e">
        <f t="shared" si="47"/>
        <v>#DIV/0!</v>
      </c>
      <c r="H30" s="221" t="e">
        <f t="shared" si="47"/>
        <v>#DIV/0!</v>
      </c>
      <c r="I30" s="221" t="e">
        <f t="shared" si="47"/>
        <v>#DIV/0!</v>
      </c>
      <c r="J30" s="221" t="e">
        <f t="shared" si="47"/>
        <v>#DIV/0!</v>
      </c>
      <c r="K30" s="221" t="e">
        <f t="shared" si="47"/>
        <v>#DIV/0!</v>
      </c>
    </row>
    <row r="31" spans="1:11" s="196" customFormat="1" ht="15.75">
      <c r="A31" s="196" t="s">
        <v>237</v>
      </c>
    </row>
    <row r="32" spans="1:11" s="196" customFormat="1" ht="15.75">
      <c r="A32" s="196" t="s">
        <v>238</v>
      </c>
      <c r="B32" s="45">
        <f>'3'!$E$7</f>
        <v>0</v>
      </c>
      <c r="C32" s="45">
        <f>'3'!$E$7</f>
        <v>0</v>
      </c>
      <c r="D32" s="45">
        <f>'3'!$E$7</f>
        <v>0</v>
      </c>
      <c r="E32" s="45">
        <f>'3'!$E$7</f>
        <v>0</v>
      </c>
      <c r="F32" s="45">
        <f>'3'!$E$7</f>
        <v>0</v>
      </c>
      <c r="G32" s="45">
        <f>'3'!$E$7</f>
        <v>0</v>
      </c>
      <c r="H32" s="45">
        <f>'3'!$E$7</f>
        <v>0</v>
      </c>
      <c r="I32" s="45">
        <f>'3'!$E$7</f>
        <v>0</v>
      </c>
      <c r="J32" s="45">
        <f>'3'!$E$7</f>
        <v>0</v>
      </c>
      <c r="K32" s="45">
        <f>'3'!$E$7</f>
        <v>0</v>
      </c>
    </row>
    <row r="33" spans="1:11" s="196" customFormat="1" ht="15.75">
      <c r="A33" s="196" t="s">
        <v>239</v>
      </c>
      <c r="B33" s="46" t="e">
        <f>B30/B32</f>
        <v>#DIV/0!</v>
      </c>
      <c r="C33" s="46" t="e">
        <f t="shared" ref="C33:K33" si="48">C30/C32</f>
        <v>#DIV/0!</v>
      </c>
      <c r="D33" s="46" t="e">
        <f t="shared" si="48"/>
        <v>#DIV/0!</v>
      </c>
      <c r="E33" s="46" t="e">
        <f t="shared" si="48"/>
        <v>#DIV/0!</v>
      </c>
      <c r="F33" s="46" t="e">
        <f t="shared" si="48"/>
        <v>#DIV/0!</v>
      </c>
      <c r="G33" s="46" t="e">
        <f t="shared" si="48"/>
        <v>#DIV/0!</v>
      </c>
      <c r="H33" s="46" t="e">
        <f t="shared" si="48"/>
        <v>#DIV/0!</v>
      </c>
      <c r="I33" s="46" t="e">
        <f t="shared" si="48"/>
        <v>#DIV/0!</v>
      </c>
      <c r="J33" s="46" t="e">
        <f t="shared" si="48"/>
        <v>#DIV/0!</v>
      </c>
      <c r="K33" s="46" t="e">
        <f t="shared" si="48"/>
        <v>#DIV/0!</v>
      </c>
    </row>
    <row r="34" spans="1:11" s="196" customFormat="1" ht="15.75">
      <c r="A34" s="196" t="s">
        <v>240</v>
      </c>
      <c r="B34" s="46" t="e">
        <f>B33</f>
        <v>#DIV/0!</v>
      </c>
      <c r="C34" s="46" t="e">
        <f>C33</f>
        <v>#DIV/0!</v>
      </c>
      <c r="D34" s="46" t="e">
        <f>D33</f>
        <v>#DIV/0!</v>
      </c>
      <c r="E34" s="46" t="e">
        <f>E33</f>
        <v>#DIV/0!</v>
      </c>
      <c r="F34" s="46">
        <f>Financials!G15</f>
        <v>0</v>
      </c>
      <c r="G34" s="46">
        <f>Table28[[#This Row],[Column6]]</f>
        <v>0</v>
      </c>
      <c r="H34" s="46">
        <f>Table28[[#This Row],[Column7]]</f>
        <v>0</v>
      </c>
      <c r="I34" s="46">
        <f>Table28[[#This Row],[Column8]]</f>
        <v>0</v>
      </c>
      <c r="J34" s="46">
        <f>Table28[[#This Row],[Column9]]</f>
        <v>0</v>
      </c>
      <c r="K34" s="46">
        <f>Table28[[#This Row],[Column10]]</f>
        <v>0</v>
      </c>
    </row>
    <row r="35" spans="1:11">
      <c r="A35" s="227"/>
    </row>
  </sheetData>
  <sheetProtection password="DA39" sheet="1" objects="1" scenarios="1" selectLockedCells="1"/>
  <mergeCells count="1">
    <mergeCell ref="A1:K1"/>
  </mergeCells>
  <printOptions horizontalCentered="1"/>
  <pageMargins left="0.25" right="0.25" top="0.75" bottom="0.75" header="0.3" footer="0.3"/>
  <pageSetup scale="88" orientation="landscape" r:id="rId1"/>
  <headerFooter>
    <oddFooter>&amp;L&amp;F&amp;R&amp;A</oddFooter>
  </headerFooter>
  <tableParts count="1">
    <tablePart r:id="rId2"/>
  </tableParts>
</worksheet>
</file>

<file path=xl/worksheets/sheet21.xml><?xml version="1.0" encoding="utf-8"?>
<worksheet xmlns="http://schemas.openxmlformats.org/spreadsheetml/2006/main" xmlns:r="http://schemas.openxmlformats.org/officeDocument/2006/relationships">
  <sheetPr>
    <pageSetUpPr fitToPage="1"/>
  </sheetPr>
  <dimension ref="A1:O22"/>
  <sheetViews>
    <sheetView showGridLines="0" workbookViewId="0">
      <selection activeCell="L16" sqref="L16"/>
    </sheetView>
  </sheetViews>
  <sheetFormatPr defaultRowHeight="15"/>
  <cols>
    <col min="1" max="1" width="31.42578125" style="176" customWidth="1"/>
    <col min="2" max="2" width="9.140625" style="176" customWidth="1"/>
    <col min="3" max="3" width="9.140625" style="176" bestFit="1" customWidth="1"/>
    <col min="4" max="4" width="9.85546875" style="176" bestFit="1" customWidth="1"/>
    <col min="5" max="5" width="11.85546875" style="39" bestFit="1" customWidth="1"/>
    <col min="6" max="6" width="11" style="176" bestFit="1" customWidth="1"/>
    <col min="7" max="7" width="11" style="214" hidden="1" customWidth="1"/>
    <col min="8" max="8" width="15.85546875" style="214" hidden="1" customWidth="1"/>
    <col min="9" max="9" width="9.7109375" style="214" hidden="1" customWidth="1"/>
    <col min="10" max="10" width="13.42578125" style="175" hidden="1" customWidth="1"/>
    <col min="11" max="16384" width="9.140625" style="176"/>
  </cols>
  <sheetData>
    <row r="1" spans="1:10" ht="16.5" thickBot="1">
      <c r="A1" s="807" t="s">
        <v>241</v>
      </c>
      <c r="B1" s="808"/>
      <c r="C1" s="808"/>
      <c r="D1" s="808"/>
      <c r="E1" s="808"/>
      <c r="F1" s="809"/>
    </row>
    <row r="2" spans="1:10" ht="15.75" thickBot="1"/>
    <row r="3" spans="1:10" ht="15.75">
      <c r="A3" s="177" t="s">
        <v>242</v>
      </c>
      <c r="B3" s="839" t="s">
        <v>670</v>
      </c>
      <c r="C3" s="839"/>
      <c r="D3" s="839"/>
      <c r="E3" s="178" t="s">
        <v>188</v>
      </c>
      <c r="F3" s="179" t="s">
        <v>243</v>
      </c>
      <c r="G3" s="838" t="s">
        <v>670</v>
      </c>
      <c r="H3" s="838"/>
      <c r="I3" s="838"/>
      <c r="J3" s="985"/>
    </row>
    <row r="4" spans="1:10" ht="16.5" thickBot="1">
      <c r="A4" s="187" t="s">
        <v>244</v>
      </c>
      <c r="B4" s="188" t="s">
        <v>190</v>
      </c>
      <c r="C4" s="188" t="s">
        <v>191</v>
      </c>
      <c r="D4" s="188" t="s">
        <v>245</v>
      </c>
      <c r="E4" s="188"/>
      <c r="F4" s="189"/>
      <c r="G4" s="216" t="s">
        <v>190</v>
      </c>
      <c r="H4" s="216" t="s">
        <v>191</v>
      </c>
      <c r="I4" s="216" t="s">
        <v>245</v>
      </c>
      <c r="J4" s="985"/>
    </row>
    <row r="5" spans="1:10">
      <c r="A5" s="176" t="s">
        <v>246</v>
      </c>
      <c r="B5" s="193">
        <f>Financials!D24</f>
        <v>0</v>
      </c>
      <c r="C5" s="193">
        <f>Financials!D25</f>
        <v>0</v>
      </c>
      <c r="D5" s="176">
        <f>Financials!D30</f>
        <v>0</v>
      </c>
      <c r="E5" s="176">
        <f>'3'!E4</f>
        <v>0</v>
      </c>
      <c r="F5" s="176">
        <f>'3'!D4</f>
        <v>0</v>
      </c>
      <c r="G5" s="175">
        <f>Table29[[#This Row],[Column8]]*Table29[[#This Row],[Column2]]</f>
        <v>0</v>
      </c>
      <c r="H5" s="175">
        <f>Table29[[#This Row],[Column8]]*Table29[[#This Row],[Column3]]</f>
        <v>0</v>
      </c>
      <c r="I5" s="175">
        <f>Table29[[#This Row],[Column8]]*Table29[[#This Row],[Column4]]</f>
        <v>0</v>
      </c>
      <c r="J5" s="985"/>
    </row>
    <row r="6" spans="1:10">
      <c r="A6" s="176" t="s">
        <v>247</v>
      </c>
      <c r="B6" s="193">
        <f>Financials!D27</f>
        <v>0</v>
      </c>
      <c r="C6" s="193">
        <f>Financials!D28</f>
        <v>0</v>
      </c>
      <c r="D6" s="176">
        <f>Financials!D30</f>
        <v>0</v>
      </c>
      <c r="E6" s="176">
        <f>'3'!E5</f>
        <v>0</v>
      </c>
      <c r="F6" s="176">
        <f>'3'!D5</f>
        <v>0</v>
      </c>
      <c r="G6" s="175">
        <f>Table29[[#This Row],[Column8]]*Table29[[#This Row],[Column2]]</f>
        <v>0</v>
      </c>
      <c r="H6" s="175">
        <f>Table29[[#This Row],[Column8]]*Table29[[#This Row],[Column3]]</f>
        <v>0</v>
      </c>
      <c r="I6" s="175">
        <f>Table29[[#This Row],[Column8]]*Table29[[#This Row],[Column4]]</f>
        <v>0</v>
      </c>
      <c r="J6" s="985"/>
    </row>
    <row r="7" spans="1:10">
      <c r="A7" s="176" t="s">
        <v>248</v>
      </c>
      <c r="B7" s="193">
        <f>Financials!D29</f>
        <v>0</v>
      </c>
      <c r="C7" s="193">
        <f>Financials!D29</f>
        <v>0</v>
      </c>
      <c r="E7" s="176">
        <f>'3'!E6</f>
        <v>0</v>
      </c>
      <c r="F7" s="176">
        <f>'3'!D6</f>
        <v>0</v>
      </c>
      <c r="G7" s="175">
        <f>Table29[[#This Row],[Column8]]*Table29[[#This Row],[Column2]]</f>
        <v>0</v>
      </c>
      <c r="H7" s="175">
        <f>Table29[[#This Row],[Column8]]*Table29[[#This Row],[Column3]]</f>
        <v>0</v>
      </c>
      <c r="I7" s="175">
        <f>Table29[[#This Row],[Column8]]*Table29[[#This Row],[Column4]]</f>
        <v>0</v>
      </c>
      <c r="J7" s="985"/>
    </row>
    <row r="8" spans="1:10" s="196" customFormat="1" ht="15.75">
      <c r="A8" s="196" t="s">
        <v>249</v>
      </c>
      <c r="B8" s="198" t="e">
        <f>Table29[[#This Row],[Column10]]/Table29[[#This Row],[Column8]]</f>
        <v>#DIV/0!</v>
      </c>
      <c r="C8" s="198" t="e">
        <f>Table29[[#This Row],[Column11]]/Table29[[#This Row],[Column8]]</f>
        <v>#DIV/0!</v>
      </c>
      <c r="D8" s="198" t="e">
        <f>Table29[[#This Row],[Column12]]/Table29[[#This Row],[Column8]]</f>
        <v>#DIV/0!</v>
      </c>
      <c r="E8" s="196">
        <f>SUBTOTAL(109,E5:E7)</f>
        <v>0</v>
      </c>
      <c r="F8" s="196">
        <f>SUBTOTAL(109,F5:F7)</f>
        <v>0</v>
      </c>
      <c r="G8" s="202">
        <f t="shared" ref="G8:I8" si="0">SUBTOTAL(109,G5:G7)</f>
        <v>0</v>
      </c>
      <c r="H8" s="202">
        <f t="shared" si="0"/>
        <v>0</v>
      </c>
      <c r="I8" s="202">
        <f t="shared" si="0"/>
        <v>0</v>
      </c>
      <c r="J8" s="985"/>
    </row>
    <row r="9" spans="1:10">
      <c r="A9" s="217" t="s">
        <v>250</v>
      </c>
    </row>
    <row r="10" spans="1:10" ht="15.75" thickBot="1"/>
    <row r="11" spans="1:10" ht="16.5" thickBot="1">
      <c r="A11" s="807" t="s">
        <v>251</v>
      </c>
      <c r="B11" s="808"/>
      <c r="C11" s="808"/>
      <c r="D11" s="808"/>
      <c r="E11" s="808"/>
      <c r="F11" s="809"/>
    </row>
    <row r="12" spans="1:10" ht="15.75" thickBot="1"/>
    <row r="13" spans="1:10" ht="15.75">
      <c r="A13" s="177" t="s">
        <v>252</v>
      </c>
      <c r="B13" s="178" t="s">
        <v>190</v>
      </c>
      <c r="C13" s="178" t="s">
        <v>191</v>
      </c>
      <c r="D13" s="178" t="s">
        <v>253</v>
      </c>
      <c r="E13" s="218" t="s">
        <v>254</v>
      </c>
      <c r="F13" s="179" t="s">
        <v>255</v>
      </c>
      <c r="G13" s="219" t="s">
        <v>190</v>
      </c>
      <c r="H13" s="219" t="s">
        <v>191</v>
      </c>
      <c r="I13" s="219" t="s">
        <v>253</v>
      </c>
      <c r="J13" s="180" t="s">
        <v>254</v>
      </c>
    </row>
    <row r="14" spans="1:10" ht="16.5" thickBot="1">
      <c r="A14" s="187"/>
      <c r="B14" s="188"/>
      <c r="C14" s="188" t="s">
        <v>256</v>
      </c>
      <c r="D14" s="188" t="s">
        <v>257</v>
      </c>
      <c r="E14" s="215" t="s">
        <v>678</v>
      </c>
      <c r="F14" s="189" t="s">
        <v>212</v>
      </c>
      <c r="G14" s="216"/>
      <c r="H14" s="216" t="s">
        <v>256</v>
      </c>
      <c r="I14" s="216" t="s">
        <v>257</v>
      </c>
      <c r="J14" s="190" t="s">
        <v>270</v>
      </c>
    </row>
    <row r="15" spans="1:10">
      <c r="A15" s="176" t="s">
        <v>258</v>
      </c>
      <c r="B15" s="194">
        <f>Financials!L7</f>
        <v>0</v>
      </c>
      <c r="C15" s="194">
        <f>Financials!M7</f>
        <v>0</v>
      </c>
      <c r="D15" s="194">
        <f>Financials!N7</f>
        <v>0</v>
      </c>
      <c r="E15" s="39" t="e">
        <f>Table30[[#This Row],[Column2]]*$B$8+Table30[[#This Row],[Column3]]*$C$8+Table30[[#This Row],[Column4]]*$D$8</f>
        <v>#DIV/0!</v>
      </c>
      <c r="F15" s="43" t="e">
        <f>'14'!B7/'14'!B$30</f>
        <v>#DIV/0!</v>
      </c>
      <c r="G15" s="195" t="e">
        <f>Table30[[#This Row],[Column6]]*Table30[[#This Row],[Column2]]</f>
        <v>#DIV/0!</v>
      </c>
      <c r="H15" s="195" t="e">
        <f>Table30[[#This Row],[Column6]]*Table30[[#This Row],[Column3]]</f>
        <v>#DIV/0!</v>
      </c>
      <c r="I15" s="195" t="e">
        <f>Table30[[#This Row],[Column6]]*Table30[[#This Row],[Column4]]</f>
        <v>#DIV/0!</v>
      </c>
      <c r="J15" s="175" t="e">
        <f>Table30[[#This Row],[Column6]]*Table30[[#This Row],[Column5]]</f>
        <v>#DIV/0!</v>
      </c>
    </row>
    <row r="16" spans="1:10">
      <c r="A16" s="176" t="s">
        <v>259</v>
      </c>
      <c r="B16" s="194">
        <f>Financials!L8</f>
        <v>0</v>
      </c>
      <c r="C16" s="194">
        <f>Financials!M8</f>
        <v>0</v>
      </c>
      <c r="D16" s="194">
        <f>Financials!N8</f>
        <v>0</v>
      </c>
      <c r="E16" s="39" t="e">
        <f>Table30[[#This Row],[Column2]]*$B$8+Table30[[#This Row],[Column3]]*$C$8+Table30[[#This Row],[Column4]]*$D$8</f>
        <v>#DIV/0!</v>
      </c>
      <c r="F16" s="43" t="e">
        <f>'14'!B10/'14'!B$30</f>
        <v>#DIV/0!</v>
      </c>
      <c r="G16" s="195" t="e">
        <f>Table30[[#This Row],[Column6]]*Table30[[#This Row],[Column2]]</f>
        <v>#DIV/0!</v>
      </c>
      <c r="H16" s="195" t="e">
        <f>Table30[[#This Row],[Column6]]*Table30[[#This Row],[Column3]]</f>
        <v>#DIV/0!</v>
      </c>
      <c r="I16" s="195" t="e">
        <f>Table30[[#This Row],[Column6]]*Table30[[#This Row],[Column4]]</f>
        <v>#DIV/0!</v>
      </c>
      <c r="J16" s="175" t="e">
        <f>Table30[[#This Row],[Column6]]*Table30[[#This Row],[Column5]]</f>
        <v>#DIV/0!</v>
      </c>
    </row>
    <row r="17" spans="1:10">
      <c r="A17" s="176" t="s">
        <v>260</v>
      </c>
      <c r="B17" s="194">
        <f>Financials!L9</f>
        <v>0</v>
      </c>
      <c r="C17" s="194">
        <f>Financials!M9</f>
        <v>0</v>
      </c>
      <c r="D17" s="194">
        <f>Financials!N9</f>
        <v>0</v>
      </c>
      <c r="E17" s="39" t="e">
        <f>Table30[[#This Row],[Column2]]*$B$8+Table30[[#This Row],[Column3]]*$C$8+Table30[[#This Row],[Column4]]*$D$8</f>
        <v>#DIV/0!</v>
      </c>
      <c r="F17" s="43" t="e">
        <f>'14'!B13/'14'!B$30</f>
        <v>#DIV/0!</v>
      </c>
      <c r="G17" s="195" t="e">
        <f>Table30[[#This Row],[Column6]]*Table30[[#This Row],[Column2]]</f>
        <v>#DIV/0!</v>
      </c>
      <c r="H17" s="195" t="e">
        <f>Table30[[#This Row],[Column6]]*Table30[[#This Row],[Column3]]</f>
        <v>#DIV/0!</v>
      </c>
      <c r="I17" s="195" t="e">
        <f>Table30[[#This Row],[Column6]]*Table30[[#This Row],[Column4]]</f>
        <v>#DIV/0!</v>
      </c>
      <c r="J17" s="175" t="e">
        <f>Table30[[#This Row],[Column6]]*Table30[[#This Row],[Column5]]</f>
        <v>#DIV/0!</v>
      </c>
    </row>
    <row r="18" spans="1:10">
      <c r="A18" s="176" t="s">
        <v>261</v>
      </c>
      <c r="B18" s="194">
        <f>Financials!L10</f>
        <v>0</v>
      </c>
      <c r="C18" s="194">
        <f>Financials!M10</f>
        <v>0</v>
      </c>
      <c r="D18" s="194">
        <f>Financials!N10</f>
        <v>0</v>
      </c>
      <c r="E18" s="39" t="e">
        <f>Table30[[#This Row],[Column2]]*$B$8+Table30[[#This Row],[Column3]]*$C$8+Table30[[#This Row],[Column4]]*$D$8</f>
        <v>#DIV/0!</v>
      </c>
      <c r="F18" s="43" t="e">
        <f>'14'!B16/'14'!B$30</f>
        <v>#DIV/0!</v>
      </c>
      <c r="G18" s="195" t="e">
        <f>Table30[[#This Row],[Column6]]*Table30[[#This Row],[Column2]]</f>
        <v>#DIV/0!</v>
      </c>
      <c r="H18" s="195" t="e">
        <f>Table30[[#This Row],[Column6]]*Table30[[#This Row],[Column3]]</f>
        <v>#DIV/0!</v>
      </c>
      <c r="I18" s="195" t="e">
        <f>Table30[[#This Row],[Column6]]*Table30[[#This Row],[Column4]]</f>
        <v>#DIV/0!</v>
      </c>
      <c r="J18" s="175" t="e">
        <f>Table30[[#This Row],[Column6]]*Table30[[#This Row],[Column5]]</f>
        <v>#DIV/0!</v>
      </c>
    </row>
    <row r="19" spans="1:10">
      <c r="A19" s="176" t="s">
        <v>262</v>
      </c>
      <c r="B19" s="194">
        <f>Financials!L11</f>
        <v>0</v>
      </c>
      <c r="C19" s="194">
        <f>Financials!M11</f>
        <v>0</v>
      </c>
      <c r="D19" s="194">
        <f>Financials!N11</f>
        <v>0</v>
      </c>
      <c r="E19" s="39" t="e">
        <f>Table30[[#This Row],[Column2]]*$B$8+Table30[[#This Row],[Column3]]*$C$8+Table30[[#This Row],[Column4]]*$D$8</f>
        <v>#DIV/0!</v>
      </c>
      <c r="F19" s="43" t="e">
        <f>'14'!B19/'14'!B$30</f>
        <v>#DIV/0!</v>
      </c>
      <c r="G19" s="195" t="e">
        <f>Table30[[#This Row],[Column6]]*Table30[[#This Row],[Column2]]</f>
        <v>#DIV/0!</v>
      </c>
      <c r="H19" s="195" t="e">
        <f>Table30[[#This Row],[Column6]]*Table30[[#This Row],[Column3]]</f>
        <v>#DIV/0!</v>
      </c>
      <c r="I19" s="195" t="e">
        <f>Table30[[#This Row],[Column6]]*Table30[[#This Row],[Column4]]</f>
        <v>#DIV/0!</v>
      </c>
      <c r="J19" s="175" t="e">
        <f>Table30[[#This Row],[Column6]]*Table30[[#This Row],[Column5]]</f>
        <v>#DIV/0!</v>
      </c>
    </row>
    <row r="20" spans="1:10">
      <c r="A20" s="176" t="s">
        <v>263</v>
      </c>
      <c r="B20" s="194">
        <f>Financials!L12</f>
        <v>0</v>
      </c>
      <c r="C20" s="194">
        <f>Financials!M12</f>
        <v>0</v>
      </c>
      <c r="D20" s="194">
        <f>Financials!N12</f>
        <v>0</v>
      </c>
      <c r="E20" s="39" t="e">
        <f>Table30[[#This Row],[Column2]]*$B$8+Table30[[#This Row],[Column3]]*$C$8+Table30[[#This Row],[Column4]]*$D$8</f>
        <v>#DIV/0!</v>
      </c>
      <c r="F20" s="43" t="e">
        <f>'14'!B22/'14'!B$30</f>
        <v>#DIV/0!</v>
      </c>
      <c r="G20" s="195" t="e">
        <f>Table30[[#This Row],[Column6]]*Table30[[#This Row],[Column2]]</f>
        <v>#DIV/0!</v>
      </c>
      <c r="H20" s="195" t="e">
        <f>Table30[[#This Row],[Column6]]*Table30[[#This Row],[Column3]]</f>
        <v>#DIV/0!</v>
      </c>
      <c r="I20" s="195" t="e">
        <f>Table30[[#This Row],[Column6]]*Table30[[#This Row],[Column4]]</f>
        <v>#DIV/0!</v>
      </c>
      <c r="J20" s="175" t="e">
        <f>Table30[[#This Row],[Column6]]*Table30[[#This Row],[Column5]]</f>
        <v>#DIV/0!</v>
      </c>
    </row>
    <row r="21" spans="1:10">
      <c r="A21" s="176" t="s">
        <v>264</v>
      </c>
      <c r="B21" s="194">
        <f>Financials!L13</f>
        <v>0</v>
      </c>
      <c r="C21" s="194">
        <f>Financials!M13</f>
        <v>0</v>
      </c>
      <c r="D21" s="194">
        <f>Financials!N13</f>
        <v>0</v>
      </c>
      <c r="E21" s="39" t="e">
        <f>Table30[[#This Row],[Column2]]*$B$8+Table30[[#This Row],[Column3]]*$C$8+Table30[[#This Row],[Column4]]*$D$8</f>
        <v>#DIV/0!</v>
      </c>
      <c r="F21" s="43" t="e">
        <f>'14'!B25/'14'!B$30</f>
        <v>#DIV/0!</v>
      </c>
      <c r="G21" s="195" t="e">
        <f>Table30[[#This Row],[Column6]]*Table30[[#This Row],[Column2]]</f>
        <v>#DIV/0!</v>
      </c>
      <c r="H21" s="195" t="e">
        <f>Table30[[#This Row],[Column6]]*Table30[[#This Row],[Column3]]</f>
        <v>#DIV/0!</v>
      </c>
      <c r="I21" s="195" t="e">
        <f>Table30[[#This Row],[Column6]]*Table30[[#This Row],[Column4]]</f>
        <v>#DIV/0!</v>
      </c>
      <c r="J21" s="175" t="e">
        <f>Table30[[#This Row],[Column6]]*Table30[[#This Row],[Column5]]</f>
        <v>#DIV/0!</v>
      </c>
    </row>
    <row r="22" spans="1:10" s="196" customFormat="1" ht="15.75">
      <c r="A22" s="196" t="s">
        <v>42</v>
      </c>
      <c r="B22" s="220" t="e">
        <f>G22</f>
        <v>#DIV/0!</v>
      </c>
      <c r="C22" s="220" t="e">
        <f>H22</f>
        <v>#DIV/0!</v>
      </c>
      <c r="D22" s="220" t="e">
        <f>I22</f>
        <v>#DIV/0!</v>
      </c>
      <c r="E22" s="221" t="e">
        <f>J22</f>
        <v>#DIV/0!</v>
      </c>
      <c r="F22" s="46" t="e">
        <f>SUBTOTAL(109,F15:F21)</f>
        <v>#DIV/0!</v>
      </c>
      <c r="G22" s="222" t="e">
        <f>SUM(G15:G21)</f>
        <v>#DIV/0!</v>
      </c>
      <c r="H22" s="222" t="e">
        <f>SUM(H15:H21)</f>
        <v>#DIV/0!</v>
      </c>
      <c r="I22" s="222" t="e">
        <f>SUM(I15:I21)</f>
        <v>#DIV/0!</v>
      </c>
      <c r="J22" s="202" t="e">
        <f>SUM(J15:J21)</f>
        <v>#DIV/0!</v>
      </c>
    </row>
  </sheetData>
  <sheetProtection password="DA39" sheet="1" objects="1" scenarios="1" selectLockedCells="1"/>
  <mergeCells count="4">
    <mergeCell ref="A1:F1"/>
    <mergeCell ref="B3:D3"/>
    <mergeCell ref="A11:F11"/>
    <mergeCell ref="G3:I3"/>
  </mergeCells>
  <printOptions horizontalCentered="1"/>
  <pageMargins left="0.25" right="0.25" top="0.75" bottom="0.75" header="0.3" footer="0.3"/>
  <pageSetup orientation="landscape" r:id="rId1"/>
  <headerFooter>
    <oddFooter>&amp;L&amp;F&amp;R&amp;A</oddFooter>
  </headerFooter>
  <tableParts count="2">
    <tablePart r:id="rId2"/>
    <tablePart r:id="rId3"/>
  </tableParts>
</worksheet>
</file>

<file path=xl/worksheets/sheet22.xml><?xml version="1.0" encoding="utf-8"?>
<worksheet xmlns="http://schemas.openxmlformats.org/spreadsheetml/2006/main" xmlns:r="http://schemas.openxmlformats.org/officeDocument/2006/relationships">
  <sheetPr>
    <pageSetUpPr fitToPage="1"/>
  </sheetPr>
  <dimension ref="A1:V23"/>
  <sheetViews>
    <sheetView showGridLines="0" workbookViewId="0">
      <selection activeCell="H12" sqref="H12"/>
    </sheetView>
  </sheetViews>
  <sheetFormatPr defaultRowHeight="15"/>
  <cols>
    <col min="1" max="1" width="25.42578125" style="176" bestFit="1" customWidth="1"/>
    <col min="2" max="2" width="11" style="176" bestFit="1" customWidth="1"/>
    <col min="3" max="3" width="9.85546875" style="176" bestFit="1" customWidth="1"/>
    <col min="4" max="4" width="11.140625" style="176" bestFit="1" customWidth="1"/>
    <col min="5" max="5" width="11.7109375" style="176" bestFit="1" customWidth="1"/>
    <col min="6" max="6" width="10" style="176" bestFit="1" customWidth="1"/>
    <col min="7" max="9" width="9.85546875" style="176" bestFit="1" customWidth="1"/>
    <col min="10" max="10" width="12.5703125" style="175" hidden="1" customWidth="1"/>
    <col min="11" max="11" width="13.140625" style="175" hidden="1" customWidth="1"/>
    <col min="12" max="17" width="11.28515625" style="175" hidden="1" customWidth="1"/>
    <col min="18" max="18" width="9.140625" style="176" hidden="1" customWidth="1"/>
    <col min="19" max="19" width="11.28515625" style="176" hidden="1" customWidth="1"/>
    <col min="20" max="21" width="9.140625" style="176" hidden="1" customWidth="1"/>
    <col min="22" max="22" width="11.28515625" style="176" hidden="1" customWidth="1"/>
    <col min="23" max="16384" width="9.140625" style="176"/>
  </cols>
  <sheetData>
    <row r="1" spans="1:22" ht="16.5" thickBot="1">
      <c r="A1" s="807" t="s">
        <v>265</v>
      </c>
      <c r="B1" s="808"/>
      <c r="C1" s="808"/>
      <c r="D1" s="808"/>
      <c r="E1" s="808"/>
      <c r="F1" s="808"/>
      <c r="G1" s="808"/>
      <c r="H1" s="808"/>
      <c r="I1" s="809"/>
    </row>
    <row r="2" spans="1:22" ht="15.75" thickBot="1"/>
    <row r="3" spans="1:22" ht="15.75">
      <c r="A3" s="177" t="s">
        <v>252</v>
      </c>
      <c r="B3" s="178" t="s">
        <v>255</v>
      </c>
      <c r="C3" s="178" t="s">
        <v>209</v>
      </c>
      <c r="D3" s="178" t="s">
        <v>255</v>
      </c>
      <c r="E3" s="179" t="s">
        <v>266</v>
      </c>
      <c r="J3" s="180" t="s">
        <v>255</v>
      </c>
      <c r="K3" s="181" t="s">
        <v>266</v>
      </c>
    </row>
    <row r="4" spans="1:22" ht="15.75">
      <c r="A4" s="182"/>
      <c r="B4" s="183" t="s">
        <v>212</v>
      </c>
      <c r="C4" s="183" t="s">
        <v>267</v>
      </c>
      <c r="D4" s="183" t="s">
        <v>268</v>
      </c>
      <c r="E4" s="184" t="s">
        <v>269</v>
      </c>
      <c r="J4" s="185" t="s">
        <v>268</v>
      </c>
      <c r="K4" s="186" t="s">
        <v>269</v>
      </c>
    </row>
    <row r="5" spans="1:22" ht="16.5" thickBot="1">
      <c r="A5" s="187"/>
      <c r="B5" s="188"/>
      <c r="C5" s="188" t="s">
        <v>270</v>
      </c>
      <c r="D5" s="188" t="s">
        <v>189</v>
      </c>
      <c r="E5" s="189" t="s">
        <v>268</v>
      </c>
      <c r="J5" s="190" t="s">
        <v>189</v>
      </c>
      <c r="K5" s="191" t="s">
        <v>268</v>
      </c>
    </row>
    <row r="6" spans="1:22">
      <c r="A6" s="176" t="s">
        <v>258</v>
      </c>
      <c r="B6" s="192" t="e">
        <f>'15'!F15</f>
        <v>#DIV/0!</v>
      </c>
      <c r="C6" s="193" t="e">
        <f>'15'!E15</f>
        <v>#DIV/0!</v>
      </c>
      <c r="D6" s="194">
        <f>Financials!O7</f>
        <v>0</v>
      </c>
      <c r="E6" s="193" t="e">
        <f>Table31[[#This Row],[Column3]]-Table31[[#This Row],[Column3]]*Table31[[#This Row],[Column4]]</f>
        <v>#DIV/0!</v>
      </c>
      <c r="J6" s="195" t="e">
        <f>Table31[[#This Row],[Column4]]*Table31[[#This Row],[Column2]]</f>
        <v>#DIV/0!</v>
      </c>
      <c r="K6" s="175" t="e">
        <f>Table31[[#This Row],[Column5]]*Table31[[#This Row],[Column2]]</f>
        <v>#DIV/0!</v>
      </c>
    </row>
    <row r="7" spans="1:22">
      <c r="A7" s="176" t="s">
        <v>259</v>
      </c>
      <c r="B7" s="192" t="e">
        <f>'15'!F16</f>
        <v>#DIV/0!</v>
      </c>
      <c r="C7" s="193" t="e">
        <f>'15'!E16</f>
        <v>#DIV/0!</v>
      </c>
      <c r="D7" s="194">
        <f>Financials!O8</f>
        <v>0</v>
      </c>
      <c r="E7" s="193" t="e">
        <f>Table31[[#This Row],[Column3]]-Table31[[#This Row],[Column3]]*Table31[[#This Row],[Column4]]</f>
        <v>#DIV/0!</v>
      </c>
      <c r="J7" s="195" t="e">
        <f>Table31[[#This Row],[Column4]]*Table31[[#This Row],[Column2]]</f>
        <v>#DIV/0!</v>
      </c>
      <c r="K7" s="175" t="e">
        <f>Table31[[#This Row],[Column5]]*Table31[[#This Row],[Column2]]</f>
        <v>#DIV/0!</v>
      </c>
    </row>
    <row r="8" spans="1:22">
      <c r="A8" s="176" t="s">
        <v>260</v>
      </c>
      <c r="B8" s="192" t="e">
        <f>'15'!F17</f>
        <v>#DIV/0!</v>
      </c>
      <c r="C8" s="193" t="e">
        <f>'15'!E17</f>
        <v>#DIV/0!</v>
      </c>
      <c r="D8" s="194">
        <f>Financials!O9</f>
        <v>0</v>
      </c>
      <c r="E8" s="193" t="e">
        <f>Table31[[#This Row],[Column3]]-Table31[[#This Row],[Column3]]*Table31[[#This Row],[Column4]]</f>
        <v>#DIV/0!</v>
      </c>
      <c r="J8" s="195" t="e">
        <f>Table31[[#This Row],[Column4]]*Table31[[#This Row],[Column2]]</f>
        <v>#DIV/0!</v>
      </c>
      <c r="K8" s="175" t="e">
        <f>Table31[[#This Row],[Column5]]*Table31[[#This Row],[Column2]]</f>
        <v>#DIV/0!</v>
      </c>
    </row>
    <row r="9" spans="1:22">
      <c r="A9" s="176" t="s">
        <v>261</v>
      </c>
      <c r="B9" s="192" t="e">
        <f>'15'!F18</f>
        <v>#DIV/0!</v>
      </c>
      <c r="C9" s="193" t="e">
        <f>'15'!E18</f>
        <v>#DIV/0!</v>
      </c>
      <c r="D9" s="194">
        <f>Financials!O10</f>
        <v>0</v>
      </c>
      <c r="E9" s="193" t="e">
        <f>Table31[[#This Row],[Column3]]-Table31[[#This Row],[Column3]]*Table31[[#This Row],[Column4]]</f>
        <v>#DIV/0!</v>
      </c>
      <c r="J9" s="195" t="e">
        <f>Table31[[#This Row],[Column4]]*Table31[[#This Row],[Column2]]</f>
        <v>#DIV/0!</v>
      </c>
      <c r="K9" s="175" t="e">
        <f>Table31[[#This Row],[Column5]]*Table31[[#This Row],[Column2]]</f>
        <v>#DIV/0!</v>
      </c>
    </row>
    <row r="10" spans="1:22">
      <c r="A10" s="176" t="s">
        <v>262</v>
      </c>
      <c r="B10" s="192" t="e">
        <f>'15'!F19</f>
        <v>#DIV/0!</v>
      </c>
      <c r="C10" s="193" t="e">
        <f>'15'!E19</f>
        <v>#DIV/0!</v>
      </c>
      <c r="D10" s="194">
        <f>Financials!O11</f>
        <v>0</v>
      </c>
      <c r="E10" s="193" t="e">
        <f>Table31[[#This Row],[Column3]]-Table31[[#This Row],[Column3]]*Table31[[#This Row],[Column4]]</f>
        <v>#DIV/0!</v>
      </c>
      <c r="J10" s="195" t="e">
        <f>Table31[[#This Row],[Column4]]*Table31[[#This Row],[Column2]]</f>
        <v>#DIV/0!</v>
      </c>
      <c r="K10" s="175" t="e">
        <f>Table31[[#This Row],[Column5]]*Table31[[#This Row],[Column2]]</f>
        <v>#DIV/0!</v>
      </c>
    </row>
    <row r="11" spans="1:22">
      <c r="A11" s="176" t="s">
        <v>263</v>
      </c>
      <c r="B11" s="192" t="e">
        <f>'15'!F20</f>
        <v>#DIV/0!</v>
      </c>
      <c r="C11" s="193" t="e">
        <f>'15'!E20</f>
        <v>#DIV/0!</v>
      </c>
      <c r="D11" s="194">
        <f>Financials!O12</f>
        <v>0</v>
      </c>
      <c r="E11" s="193" t="e">
        <f>Table31[[#This Row],[Column3]]-Table31[[#This Row],[Column3]]*Table31[[#This Row],[Column4]]</f>
        <v>#DIV/0!</v>
      </c>
      <c r="J11" s="195" t="e">
        <f>Table31[[#This Row],[Column4]]*Table31[[#This Row],[Column2]]</f>
        <v>#DIV/0!</v>
      </c>
      <c r="K11" s="175" t="e">
        <f>Table31[[#This Row],[Column5]]*Table31[[#This Row],[Column2]]</f>
        <v>#DIV/0!</v>
      </c>
    </row>
    <row r="12" spans="1:22">
      <c r="A12" s="176" t="s">
        <v>264</v>
      </c>
      <c r="B12" s="192" t="e">
        <f>'15'!F21</f>
        <v>#DIV/0!</v>
      </c>
      <c r="C12" s="193" t="e">
        <f>'15'!E21</f>
        <v>#DIV/0!</v>
      </c>
      <c r="D12" s="194">
        <f>Financials!O13</f>
        <v>0</v>
      </c>
      <c r="E12" s="193" t="e">
        <f>Table31[[#This Row],[Column3]]-Table31[[#This Row],[Column3]]*Table31[[#This Row],[Column4]]</f>
        <v>#DIV/0!</v>
      </c>
      <c r="F12" s="193"/>
      <c r="J12" s="195" t="e">
        <f>Table31[[#This Row],[Column4]]*Table31[[#This Row],[Column2]]</f>
        <v>#DIV/0!</v>
      </c>
      <c r="K12" s="175" t="e">
        <f>Table31[[#This Row],[Column5]]*Table31[[#This Row],[Column2]]</f>
        <v>#DIV/0!</v>
      </c>
    </row>
    <row r="13" spans="1:22" ht="15.75">
      <c r="A13" s="196" t="s">
        <v>42</v>
      </c>
      <c r="B13" s="197" t="e">
        <f>'15'!F22</f>
        <v>#DIV/0!</v>
      </c>
      <c r="C13" s="198" t="e">
        <f>'15'!E22</f>
        <v>#DIV/0!</v>
      </c>
      <c r="D13" s="199" t="e">
        <f>J13</f>
        <v>#DIV/0!</v>
      </c>
      <c r="E13" s="200" t="e">
        <f>K13</f>
        <v>#DIV/0!</v>
      </c>
      <c r="J13" s="201" t="e">
        <f>SUM(J6:J12)</f>
        <v>#DIV/0!</v>
      </c>
      <c r="K13" s="202" t="e">
        <f>SUM(K6:K12)</f>
        <v>#DIV/0!</v>
      </c>
    </row>
    <row r="14" spans="1:22" ht="16.5" thickBot="1">
      <c r="A14" s="196"/>
      <c r="B14" s="197"/>
      <c r="C14" s="198"/>
      <c r="D14" s="199"/>
      <c r="E14" s="198"/>
      <c r="J14" s="202"/>
      <c r="K14" s="202"/>
    </row>
    <row r="15" spans="1:22" ht="16.5" thickBot="1">
      <c r="A15" s="203" t="s">
        <v>271</v>
      </c>
      <c r="B15" s="204">
        <f>'1'!B20</f>
        <v>0</v>
      </c>
      <c r="C15" s="204">
        <f>B15+1</f>
        <v>1</v>
      </c>
      <c r="D15" s="204">
        <f>C15+1</f>
        <v>2</v>
      </c>
      <c r="E15" s="205">
        <f t="shared" ref="E15:I15" si="0">D15+1</f>
        <v>3</v>
      </c>
      <c r="F15" s="204">
        <f t="shared" si="0"/>
        <v>4</v>
      </c>
      <c r="G15" s="204">
        <f t="shared" si="0"/>
        <v>5</v>
      </c>
      <c r="H15" s="204">
        <f t="shared" si="0"/>
        <v>6</v>
      </c>
      <c r="I15" s="204">
        <f t="shared" si="0"/>
        <v>7</v>
      </c>
      <c r="J15" s="206" t="s">
        <v>197</v>
      </c>
      <c r="K15" s="206" t="s">
        <v>272</v>
      </c>
      <c r="L15" s="206" t="s">
        <v>273</v>
      </c>
      <c r="M15" s="206" t="s">
        <v>217</v>
      </c>
      <c r="N15" s="206" t="s">
        <v>218</v>
      </c>
      <c r="O15" s="206" t="s">
        <v>219</v>
      </c>
      <c r="P15" s="206" t="s">
        <v>220</v>
      </c>
      <c r="Q15" s="207" t="s">
        <v>221</v>
      </c>
      <c r="R15" s="206" t="s">
        <v>222</v>
      </c>
      <c r="S15" s="207" t="s">
        <v>223</v>
      </c>
      <c r="T15" s="206" t="s">
        <v>224</v>
      </c>
      <c r="U15" s="207" t="s">
        <v>225</v>
      </c>
      <c r="V15" s="206" t="s">
        <v>226</v>
      </c>
    </row>
    <row r="16" spans="1:22">
      <c r="A16" s="176" t="s">
        <v>274</v>
      </c>
      <c r="B16" s="43">
        <v>0</v>
      </c>
      <c r="C16" s="43">
        <f>'1'!B12</f>
        <v>0</v>
      </c>
      <c r="D16" s="43">
        <f>Table32[[#This Row],[Column3]]</f>
        <v>0</v>
      </c>
      <c r="E16" s="208">
        <f>Table32[[#This Row],[Column4]]</f>
        <v>0</v>
      </c>
      <c r="F16" s="43">
        <f>Table32[[#This Row],[Column5]]</f>
        <v>0</v>
      </c>
      <c r="G16" s="43">
        <f>Table32[[#This Row],[Column6]]</f>
        <v>0</v>
      </c>
      <c r="H16" s="43">
        <f>Table32[[#This Row],[Column7]]</f>
        <v>0</v>
      </c>
      <c r="I16" s="43">
        <f>Table32[[#This Row],[Column8]]</f>
        <v>0</v>
      </c>
      <c r="J16" s="175" t="e">
        <f>$E$13*(100%+Table32[[#This Row],[Column2]])</f>
        <v>#DIV/0!</v>
      </c>
      <c r="K16" s="175" t="e">
        <f>J17*(100%+Table32[[#This Row],[Column3]])</f>
        <v>#DIV/0!</v>
      </c>
      <c r="L16" s="175" t="e">
        <f>K17*(100%+Table32[[#This Row],[Column4]])</f>
        <v>#DIV/0!</v>
      </c>
      <c r="M16" s="175" t="e">
        <f>L17*(100%+Table32[[#This Row],[Column5]])</f>
        <v>#DIV/0!</v>
      </c>
      <c r="N16" s="175" t="e">
        <f>M17*(100%+Table32[[#This Row],[Column6]])</f>
        <v>#DIV/0!</v>
      </c>
      <c r="O16" s="175" t="e">
        <f>N17*(100%+Table32[[#This Row],[Column7]])</f>
        <v>#DIV/0!</v>
      </c>
      <c r="P16" s="175" t="e">
        <f>O17*(100%+Table32[[#This Row],[Column8]])</f>
        <v>#DIV/0!</v>
      </c>
      <c r="Q16" s="175" t="e">
        <f>P17*(100%+Table32[[#This Row],[Column9]])</f>
        <v>#DIV/0!</v>
      </c>
      <c r="R16" s="175" t="e">
        <f>Q17*(100%+Table32[[#This Row],[Column9]])</f>
        <v>#DIV/0!</v>
      </c>
      <c r="S16" s="175" t="e">
        <f>R17*(100%+Table32[[#This Row],[Column9]])</f>
        <v>#DIV/0!</v>
      </c>
      <c r="T16" s="175" t="e">
        <f>S17*(100%+Table32[[#This Row],[Column9]])</f>
        <v>#DIV/0!</v>
      </c>
      <c r="U16" s="175" t="e">
        <f>T17*(100%+Table32[[#This Row],[Column9]])</f>
        <v>#DIV/0!</v>
      </c>
      <c r="V16" s="175" t="e">
        <f>U17*(100%+Table32[[#This Row],[Column9]])</f>
        <v>#DIV/0!</v>
      </c>
    </row>
    <row r="17" spans="1:22">
      <c r="A17" s="176" t="s">
        <v>275</v>
      </c>
      <c r="B17" s="43">
        <f>Financials!C19</f>
        <v>0</v>
      </c>
      <c r="C17" s="43">
        <f>Financials!D19</f>
        <v>0</v>
      </c>
      <c r="D17" s="43">
        <f>Financials!E19</f>
        <v>0</v>
      </c>
      <c r="E17" s="208">
        <f>Financials!F19</f>
        <v>0</v>
      </c>
      <c r="F17" s="43">
        <f>Financials!G19</f>
        <v>0</v>
      </c>
      <c r="G17" s="43">
        <f>Financials!H19</f>
        <v>0</v>
      </c>
      <c r="H17" s="43">
        <f>Financials!I19</f>
        <v>0</v>
      </c>
      <c r="I17" s="43">
        <f>Financials!J19</f>
        <v>0</v>
      </c>
      <c r="J17" s="175" t="e">
        <f>J16*(100%+Table32[[#This Row],[Column2]])</f>
        <v>#DIV/0!</v>
      </c>
      <c r="K17" s="175" t="e">
        <f>K16*(100%+Table32[[#This Row],[Column3]])</f>
        <v>#DIV/0!</v>
      </c>
      <c r="L17" s="175" t="e">
        <f>L16*(100%+Table32[[#This Row],[Column4]])</f>
        <v>#DIV/0!</v>
      </c>
      <c r="M17" s="175" t="e">
        <f>M16*(100%+Table32[[#This Row],[Column5]])</f>
        <v>#DIV/0!</v>
      </c>
      <c r="N17" s="175" t="e">
        <f>N16*(100%+Table32[[#This Row],[Column6]])</f>
        <v>#DIV/0!</v>
      </c>
      <c r="O17" s="175" t="e">
        <f>O16*(100%+Table32[[#This Row],[Column7]])</f>
        <v>#DIV/0!</v>
      </c>
      <c r="P17" s="175" t="e">
        <f>P16*(100%+Table32[[#This Row],[Column8]])</f>
        <v>#DIV/0!</v>
      </c>
      <c r="Q17" s="175" t="e">
        <f>Q16*(100%+Table32[[#This Row],[Column9]])</f>
        <v>#DIV/0!</v>
      </c>
      <c r="R17" s="175" t="e">
        <f>R16</f>
        <v>#DIV/0!</v>
      </c>
      <c r="S17" s="175" t="e">
        <f>S16</f>
        <v>#DIV/0!</v>
      </c>
      <c r="T17" s="175" t="e">
        <f>T16</f>
        <v>#DIV/0!</v>
      </c>
      <c r="U17" s="175" t="e">
        <f>U16</f>
        <v>#DIV/0!</v>
      </c>
      <c r="V17" s="175" t="e">
        <f>V16</f>
        <v>#DIV/0!</v>
      </c>
    </row>
    <row r="18" spans="1:22" s="196" customFormat="1" ht="15.75">
      <c r="A18" s="196" t="s">
        <v>276</v>
      </c>
      <c r="B18" s="198" t="e">
        <f t="shared" ref="B18:H18" si="1">J17</f>
        <v>#DIV/0!</v>
      </c>
      <c r="C18" s="198" t="e">
        <f t="shared" si="1"/>
        <v>#DIV/0!</v>
      </c>
      <c r="D18" s="198" t="e">
        <f t="shared" si="1"/>
        <v>#DIV/0!</v>
      </c>
      <c r="E18" s="200" t="e">
        <f t="shared" si="1"/>
        <v>#DIV/0!</v>
      </c>
      <c r="F18" s="198" t="e">
        <f t="shared" si="1"/>
        <v>#DIV/0!</v>
      </c>
      <c r="G18" s="198" t="e">
        <f t="shared" si="1"/>
        <v>#DIV/0!</v>
      </c>
      <c r="H18" s="198" t="e">
        <f t="shared" si="1"/>
        <v>#DIV/0!</v>
      </c>
      <c r="I18" s="198" t="e">
        <f>Q17</f>
        <v>#DIV/0!</v>
      </c>
      <c r="J18" s="202"/>
      <c r="K18" s="202"/>
      <c r="L18" s="202"/>
      <c r="M18" s="202"/>
      <c r="N18" s="202"/>
      <c r="O18" s="202"/>
      <c r="P18" s="202"/>
      <c r="Q18" s="202"/>
      <c r="R18" s="209"/>
      <c r="S18" s="209"/>
      <c r="T18" s="209"/>
      <c r="U18" s="209"/>
      <c r="V18" s="209"/>
    </row>
    <row r="19" spans="1:22" s="196" customFormat="1" ht="15.75">
      <c r="B19" s="197"/>
      <c r="C19" s="197"/>
      <c r="D19" s="197"/>
      <c r="E19" s="210"/>
      <c r="F19" s="197"/>
      <c r="G19" s="197"/>
      <c r="H19" s="197"/>
      <c r="I19" s="197"/>
      <c r="J19" s="202"/>
      <c r="K19" s="202"/>
      <c r="L19" s="202"/>
      <c r="M19" s="202"/>
      <c r="N19" s="202"/>
      <c r="O19" s="202"/>
      <c r="P19" s="202"/>
      <c r="Q19" s="202"/>
      <c r="R19" s="209"/>
      <c r="S19" s="209"/>
      <c r="T19" s="209"/>
      <c r="U19" s="209"/>
      <c r="V19" s="209"/>
    </row>
    <row r="20" spans="1:22" ht="15.75">
      <c r="A20" s="196" t="s">
        <v>277</v>
      </c>
      <c r="E20" s="211"/>
      <c r="R20" s="212"/>
      <c r="S20" s="212"/>
      <c r="T20" s="212"/>
      <c r="U20" s="212"/>
      <c r="V20" s="212"/>
    </row>
    <row r="21" spans="1:22">
      <c r="A21" s="176" t="s">
        <v>278</v>
      </c>
      <c r="B21" s="43">
        <f>Financials!C20</f>
        <v>0</v>
      </c>
      <c r="C21" s="43">
        <f>Financials!D20</f>
        <v>0</v>
      </c>
      <c r="D21" s="43">
        <f>Financials!E20</f>
        <v>0</v>
      </c>
      <c r="E21" s="208">
        <f>Financials!F20</f>
        <v>0</v>
      </c>
      <c r="F21" s="43">
        <f>Financials!G20</f>
        <v>0</v>
      </c>
      <c r="G21" s="43">
        <f>Financials!H20</f>
        <v>0</v>
      </c>
      <c r="H21" s="43">
        <f>Financials!I20</f>
        <v>0</v>
      </c>
      <c r="I21" s="43">
        <f>Financials!J20</f>
        <v>0</v>
      </c>
      <c r="R21" s="212"/>
      <c r="S21" s="212"/>
      <c r="T21" s="212"/>
      <c r="U21" s="212"/>
      <c r="V21" s="212"/>
    </row>
    <row r="22" spans="1:22">
      <c r="A22" s="176" t="s">
        <v>279</v>
      </c>
      <c r="B22" s="43">
        <v>0</v>
      </c>
      <c r="C22" s="43">
        <v>0</v>
      </c>
      <c r="D22" s="43" t="e">
        <f>'13'!P26</f>
        <v>#DIV/0!</v>
      </c>
      <c r="E22" s="208" t="e">
        <f>'13'!P40</f>
        <v>#DIV/0!</v>
      </c>
      <c r="F22" s="43" t="e">
        <f>'13'!P52</f>
        <v>#DIV/0!</v>
      </c>
      <c r="G22" s="43">
        <v>0</v>
      </c>
      <c r="H22" s="43">
        <v>0</v>
      </c>
      <c r="I22" s="43">
        <v>0</v>
      </c>
      <c r="R22" s="212"/>
      <c r="S22" s="212"/>
      <c r="T22" s="212"/>
      <c r="U22" s="212"/>
      <c r="V22" s="212"/>
    </row>
    <row r="23" spans="1:22" ht="15.75">
      <c r="A23" s="196" t="s">
        <v>280</v>
      </c>
      <c r="B23" s="46">
        <f>B21-B22</f>
        <v>0</v>
      </c>
      <c r="C23" s="46">
        <f t="shared" ref="C23:I23" si="2">C21-C22</f>
        <v>0</v>
      </c>
      <c r="D23" s="46" t="e">
        <f t="shared" si="2"/>
        <v>#DIV/0!</v>
      </c>
      <c r="E23" s="213" t="e">
        <f t="shared" si="2"/>
        <v>#DIV/0!</v>
      </c>
      <c r="F23" s="46" t="e">
        <f t="shared" si="2"/>
        <v>#DIV/0!</v>
      </c>
      <c r="G23" s="46">
        <f t="shared" si="2"/>
        <v>0</v>
      </c>
      <c r="H23" s="46">
        <f t="shared" si="2"/>
        <v>0</v>
      </c>
      <c r="I23" s="46">
        <f t="shared" si="2"/>
        <v>0</v>
      </c>
      <c r="R23" s="212"/>
      <c r="S23" s="212"/>
      <c r="T23" s="212"/>
      <c r="U23" s="212"/>
      <c r="V23" s="212"/>
    </row>
  </sheetData>
  <sheetProtection password="DA39" sheet="1" objects="1" scenarios="1" selectLockedCells="1"/>
  <mergeCells count="1">
    <mergeCell ref="A1:I1"/>
  </mergeCells>
  <printOptions horizontalCentered="1"/>
  <pageMargins left="0.25" right="0.25" top="0.75" bottom="0.75" header="0.3" footer="0.3"/>
  <pageSetup orientation="landscape" r:id="rId1"/>
  <headerFooter>
    <oddFooter>&amp;L&amp;F&amp;R&amp;A</oddFooter>
  </headerFooter>
  <tableParts count="2">
    <tablePart r:id="rId2"/>
    <tablePart r:id="rId3"/>
  </tableParts>
</worksheet>
</file>

<file path=xl/worksheets/sheet23.xml><?xml version="1.0" encoding="utf-8"?>
<worksheet xmlns="http://schemas.openxmlformats.org/spreadsheetml/2006/main" xmlns:r="http://schemas.openxmlformats.org/officeDocument/2006/relationships">
  <sheetPr>
    <pageSetUpPr fitToPage="1"/>
  </sheetPr>
  <dimension ref="A1:P40"/>
  <sheetViews>
    <sheetView showGridLines="0" workbookViewId="0">
      <selection activeCell="L7" sqref="L7"/>
    </sheetView>
  </sheetViews>
  <sheetFormatPr defaultRowHeight="15"/>
  <cols>
    <col min="1" max="1" width="31.140625" style="52" bestFit="1" customWidth="1"/>
    <col min="2" max="10" width="9.7109375" style="52" bestFit="1" customWidth="1"/>
    <col min="11" max="11" width="11.85546875" style="52" customWidth="1"/>
    <col min="12" max="16384" width="9.140625" style="52"/>
  </cols>
  <sheetData>
    <row r="1" spans="1:11" ht="16.5" thickBot="1">
      <c r="A1" s="840" t="s">
        <v>281</v>
      </c>
      <c r="B1" s="841"/>
      <c r="C1" s="841"/>
      <c r="D1" s="841"/>
      <c r="E1" s="841"/>
      <c r="F1" s="841"/>
      <c r="G1" s="841"/>
      <c r="H1" s="841"/>
      <c r="I1" s="841"/>
      <c r="J1" s="841"/>
      <c r="K1" s="842"/>
    </row>
    <row r="2" spans="1:11" ht="15.75" thickBot="1"/>
    <row r="3" spans="1:11" ht="16.5" thickBot="1">
      <c r="A3" s="170" t="s">
        <v>617</v>
      </c>
      <c r="B3" s="160">
        <f>'1'!B21</f>
        <v>0</v>
      </c>
      <c r="C3" s="160">
        <f>B3+1</f>
        <v>1</v>
      </c>
      <c r="D3" s="160">
        <f>C3+1</f>
        <v>2</v>
      </c>
      <c r="E3" s="160">
        <f t="shared" ref="E3:K3" si="0">D3+1</f>
        <v>3</v>
      </c>
      <c r="F3" s="160">
        <f t="shared" si="0"/>
        <v>4</v>
      </c>
      <c r="G3" s="160">
        <f t="shared" si="0"/>
        <v>5</v>
      </c>
      <c r="H3" s="160">
        <f t="shared" si="0"/>
        <v>6</v>
      </c>
      <c r="I3" s="160">
        <f t="shared" si="0"/>
        <v>7</v>
      </c>
      <c r="J3" s="160">
        <f t="shared" si="0"/>
        <v>8</v>
      </c>
      <c r="K3" s="161">
        <f t="shared" si="0"/>
        <v>9</v>
      </c>
    </row>
    <row r="4" spans="1:11">
      <c r="A4" s="52" t="s">
        <v>283</v>
      </c>
      <c r="B4" s="52">
        <f>'3'!E7</f>
        <v>0</v>
      </c>
      <c r="C4" s="52">
        <f>Table33[[#This Row],[Column2]]</f>
        <v>0</v>
      </c>
      <c r="D4" s="52">
        <f>Table33[[#This Row],[Column3]]</f>
        <v>0</v>
      </c>
      <c r="E4" s="52">
        <f>Table33[[#This Row],[Column4]]</f>
        <v>0</v>
      </c>
      <c r="F4" s="52">
        <f>Table33[[#This Row],[Column5]]</f>
        <v>0</v>
      </c>
      <c r="G4" s="52">
        <f>Table33[[#This Row],[Column6]]</f>
        <v>0</v>
      </c>
      <c r="H4" s="52">
        <f>Table33[[#This Row],[Column7]]</f>
        <v>0</v>
      </c>
      <c r="I4" s="52">
        <f>Table33[[#This Row],[Column8]]</f>
        <v>0</v>
      </c>
      <c r="J4" s="52">
        <f>Table33[[#This Row],[Column9]]</f>
        <v>0</v>
      </c>
      <c r="K4" s="52">
        <f>Table33[[#This Row],[Column10]]</f>
        <v>0</v>
      </c>
    </row>
    <row r="5" spans="1:11">
      <c r="A5" s="52" t="s">
        <v>284</v>
      </c>
      <c r="B5" s="52">
        <v>365</v>
      </c>
      <c r="C5" s="52">
        <f>Table33[[#This Row],[Column2]]</f>
        <v>365</v>
      </c>
      <c r="D5" s="52">
        <f>Table33[[#This Row],[Column3]]</f>
        <v>365</v>
      </c>
      <c r="E5" s="52">
        <f>Table33[[#This Row],[Column4]]</f>
        <v>365</v>
      </c>
      <c r="F5" s="52">
        <f>Table33[[#This Row],[Column5]]</f>
        <v>365</v>
      </c>
      <c r="G5" s="52">
        <f>Table33[[#This Row],[Column6]]</f>
        <v>365</v>
      </c>
      <c r="H5" s="52">
        <f>Table33[[#This Row],[Column7]]</f>
        <v>365</v>
      </c>
      <c r="I5" s="52">
        <f>Table33[[#This Row],[Column8]]</f>
        <v>365</v>
      </c>
      <c r="J5" s="52">
        <f>Table33[[#This Row],[Column9]]</f>
        <v>365</v>
      </c>
      <c r="K5" s="52">
        <f>Table33[[#This Row],[Column10]]</f>
        <v>365</v>
      </c>
    </row>
    <row r="6" spans="1:11">
      <c r="A6" s="52" t="s">
        <v>285</v>
      </c>
      <c r="B6" s="48" t="e">
        <f>'14'!B34</f>
        <v>#DIV/0!</v>
      </c>
      <c r="C6" s="48" t="e">
        <f>'14'!C34</f>
        <v>#DIV/0!</v>
      </c>
      <c r="D6" s="48" t="e">
        <f>'14'!D34</f>
        <v>#DIV/0!</v>
      </c>
      <c r="E6" s="48" t="e">
        <f>'14'!E34</f>
        <v>#DIV/0!</v>
      </c>
      <c r="F6" s="48">
        <f>'14'!F34</f>
        <v>0</v>
      </c>
      <c r="G6" s="48">
        <f>'14'!G34</f>
        <v>0</v>
      </c>
      <c r="H6" s="48">
        <f>'14'!H34</f>
        <v>0</v>
      </c>
      <c r="I6" s="48">
        <f>'14'!I34</f>
        <v>0</v>
      </c>
      <c r="J6" s="48">
        <f>'14'!J34</f>
        <v>0</v>
      </c>
      <c r="K6" s="48">
        <f>'14'!K34</f>
        <v>0</v>
      </c>
    </row>
    <row r="7" spans="1:11" s="58" customFormat="1" ht="31.5">
      <c r="A7" s="94" t="s">
        <v>686</v>
      </c>
      <c r="B7" s="49" t="e">
        <f>'16'!M17</f>
        <v>#DIV/0!</v>
      </c>
      <c r="C7" s="49" t="e">
        <f>'16'!N17</f>
        <v>#DIV/0!</v>
      </c>
      <c r="D7" s="49" t="e">
        <f>'16'!O17</f>
        <v>#DIV/0!</v>
      </c>
      <c r="E7" s="49" t="e">
        <f>'16'!P17</f>
        <v>#DIV/0!</v>
      </c>
      <c r="F7" s="49" t="e">
        <f>'16'!Q17</f>
        <v>#DIV/0!</v>
      </c>
      <c r="G7" s="49" t="e">
        <f>'16'!R17</f>
        <v>#DIV/0!</v>
      </c>
      <c r="H7" s="49" t="e">
        <f>'16'!S17</f>
        <v>#DIV/0!</v>
      </c>
      <c r="I7" s="49" t="e">
        <f>'16'!T17</f>
        <v>#DIV/0!</v>
      </c>
      <c r="J7" s="49" t="e">
        <f>'16'!U17</f>
        <v>#DIV/0!</v>
      </c>
      <c r="K7" s="49" t="e">
        <f>'16'!V17</f>
        <v>#DIV/0!</v>
      </c>
    </row>
    <row r="8" spans="1:11" s="58" customFormat="1" ht="15.75">
      <c r="B8" s="60"/>
      <c r="C8" s="60"/>
      <c r="D8" s="60"/>
      <c r="E8" s="60"/>
      <c r="F8" s="60"/>
      <c r="G8" s="60"/>
      <c r="H8" s="60"/>
      <c r="I8" s="60"/>
      <c r="J8" s="60"/>
      <c r="K8" s="60"/>
    </row>
    <row r="9" spans="1:11" s="58" customFormat="1" ht="15.75">
      <c r="A9" s="58" t="s">
        <v>313</v>
      </c>
      <c r="K9" s="172" t="s">
        <v>685</v>
      </c>
    </row>
    <row r="10" spans="1:11" ht="15.75">
      <c r="A10" s="58" t="s">
        <v>286</v>
      </c>
    </row>
    <row r="11" spans="1:11">
      <c r="A11" s="52" t="s">
        <v>287</v>
      </c>
      <c r="B11" s="47" t="e">
        <f>(B7*B6*B4*B5)/100000</f>
        <v>#DIV/0!</v>
      </c>
      <c r="C11" s="47" t="e">
        <f t="shared" ref="C11:K11" si="1">(C7*C6*C4*C5)/100000</f>
        <v>#DIV/0!</v>
      </c>
      <c r="D11" s="47" t="e">
        <f t="shared" si="1"/>
        <v>#DIV/0!</v>
      </c>
      <c r="E11" s="47" t="e">
        <f t="shared" si="1"/>
        <v>#DIV/0!</v>
      </c>
      <c r="F11" s="47" t="e">
        <f t="shared" si="1"/>
        <v>#DIV/0!</v>
      </c>
      <c r="G11" s="47" t="e">
        <f t="shared" si="1"/>
        <v>#DIV/0!</v>
      </c>
      <c r="H11" s="47" t="e">
        <f t="shared" si="1"/>
        <v>#DIV/0!</v>
      </c>
      <c r="I11" s="47" t="e">
        <f t="shared" si="1"/>
        <v>#DIV/0!</v>
      </c>
      <c r="J11" s="47" t="e">
        <f t="shared" si="1"/>
        <v>#DIV/0!</v>
      </c>
      <c r="K11" s="47" t="e">
        <f t="shared" si="1"/>
        <v>#DIV/0!</v>
      </c>
    </row>
    <row r="12" spans="1:11">
      <c r="A12" s="52" t="s">
        <v>288</v>
      </c>
      <c r="B12" s="47" t="e">
        <f>'20'!O12</f>
        <v>#DIV/0!</v>
      </c>
      <c r="C12" s="47" t="e">
        <f>'20'!P12</f>
        <v>#DIV/0!</v>
      </c>
      <c r="D12" s="47" t="e">
        <f>'20'!Q12</f>
        <v>#DIV/0!</v>
      </c>
      <c r="E12" s="47" t="e">
        <f>'20'!R12</f>
        <v>#DIV/0!</v>
      </c>
      <c r="F12" s="47" t="e">
        <f>'20'!S12</f>
        <v>#DIV/0!</v>
      </c>
      <c r="G12" s="47" t="e">
        <f>'20'!T12</f>
        <v>#DIV/0!</v>
      </c>
      <c r="H12" s="47" t="e">
        <f>'20'!U12</f>
        <v>#DIV/0!</v>
      </c>
      <c r="I12" s="47" t="e">
        <f>'20'!V12</f>
        <v>#DIV/0!</v>
      </c>
      <c r="J12" s="47" t="e">
        <f>'20'!W12</f>
        <v>#DIV/0!</v>
      </c>
      <c r="K12" s="47" t="e">
        <f>'20'!X12</f>
        <v>#DIV/0!</v>
      </c>
    </row>
    <row r="13" spans="1:11">
      <c r="A13" s="52" t="s">
        <v>289</v>
      </c>
      <c r="B13" s="47">
        <f>Financials!C34</f>
        <v>0</v>
      </c>
      <c r="C13" s="47">
        <f>Financials!D34</f>
        <v>0</v>
      </c>
      <c r="D13" s="47">
        <f>Financials!E34</f>
        <v>0</v>
      </c>
      <c r="E13" s="47">
        <f>Financials!F34</f>
        <v>0</v>
      </c>
      <c r="F13" s="47">
        <f>Financials!G34</f>
        <v>0</v>
      </c>
      <c r="G13" s="47">
        <f>Financials!H34</f>
        <v>0</v>
      </c>
      <c r="H13" s="47">
        <f>Financials!I34</f>
        <v>0</v>
      </c>
      <c r="I13" s="47">
        <f>Financials!J34</f>
        <v>0</v>
      </c>
      <c r="J13" s="47">
        <f>Financials!K34</f>
        <v>0</v>
      </c>
      <c r="K13" s="47">
        <f>Financials!L34</f>
        <v>0</v>
      </c>
    </row>
    <row r="14" spans="1:11">
      <c r="A14" s="52" t="s">
        <v>290</v>
      </c>
      <c r="B14" s="47">
        <f>Financials!C35</f>
        <v>0</v>
      </c>
      <c r="C14" s="47">
        <f>Financials!D35</f>
        <v>0</v>
      </c>
      <c r="D14" s="47">
        <f>Financials!E35</f>
        <v>0</v>
      </c>
      <c r="E14" s="47">
        <f>Financials!F35</f>
        <v>0</v>
      </c>
      <c r="F14" s="47">
        <f>Financials!G35</f>
        <v>0</v>
      </c>
      <c r="G14" s="47">
        <f>Financials!H35</f>
        <v>0</v>
      </c>
      <c r="H14" s="47">
        <f>Financials!I35</f>
        <v>0</v>
      </c>
      <c r="I14" s="47">
        <f>Financials!J35</f>
        <v>0</v>
      </c>
      <c r="J14" s="47">
        <f>Financials!K35</f>
        <v>0</v>
      </c>
      <c r="K14" s="47">
        <f>Financials!L35</f>
        <v>0</v>
      </c>
    </row>
    <row r="15" spans="1:11" s="58" customFormat="1" ht="16.5" thickBot="1">
      <c r="A15" s="173" t="s">
        <v>291</v>
      </c>
      <c r="B15" s="174" t="e">
        <f>SUBTOTAL(109,B11:B14)</f>
        <v>#DIV/0!</v>
      </c>
      <c r="C15" s="174" t="e">
        <f t="shared" ref="C15:K15" si="2">SUBTOTAL(109,C11:C14)</f>
        <v>#DIV/0!</v>
      </c>
      <c r="D15" s="174" t="e">
        <f t="shared" si="2"/>
        <v>#DIV/0!</v>
      </c>
      <c r="E15" s="174" t="e">
        <f t="shared" si="2"/>
        <v>#DIV/0!</v>
      </c>
      <c r="F15" s="174" t="e">
        <f t="shared" si="2"/>
        <v>#DIV/0!</v>
      </c>
      <c r="G15" s="174" t="e">
        <f t="shared" si="2"/>
        <v>#DIV/0!</v>
      </c>
      <c r="H15" s="174" t="e">
        <f t="shared" si="2"/>
        <v>#DIV/0!</v>
      </c>
      <c r="I15" s="174" t="e">
        <f t="shared" si="2"/>
        <v>#DIV/0!</v>
      </c>
      <c r="J15" s="174" t="e">
        <f t="shared" si="2"/>
        <v>#DIV/0!</v>
      </c>
      <c r="K15" s="174" t="e">
        <f t="shared" si="2"/>
        <v>#DIV/0!</v>
      </c>
    </row>
    <row r="16" spans="1:11" s="58" customFormat="1" ht="16.5" thickTop="1">
      <c r="B16" s="49"/>
      <c r="C16" s="49"/>
      <c r="D16" s="49"/>
      <c r="E16" s="49"/>
      <c r="F16" s="49"/>
      <c r="G16" s="49"/>
      <c r="H16" s="49"/>
      <c r="I16" s="49"/>
      <c r="J16" s="49"/>
      <c r="K16" s="49"/>
    </row>
    <row r="17" spans="1:16" s="58" customFormat="1" ht="15.75">
      <c r="A17" s="58" t="s">
        <v>292</v>
      </c>
      <c r="B17" s="49"/>
      <c r="C17" s="49"/>
      <c r="D17" s="49"/>
      <c r="E17" s="49"/>
      <c r="F17" s="49"/>
      <c r="G17" s="49"/>
      <c r="H17" s="49"/>
      <c r="I17" s="49"/>
      <c r="J17" s="49"/>
      <c r="K17" s="49"/>
    </row>
    <row r="18" spans="1:16">
      <c r="A18" s="52" t="s">
        <v>293</v>
      </c>
      <c r="B18" s="47" t="e">
        <f>'22'!C16</f>
        <v>#DIV/0!</v>
      </c>
      <c r="C18" s="47" t="e">
        <f>'22'!E16</f>
        <v>#DIV/0!</v>
      </c>
      <c r="D18" s="47" t="e">
        <f>'22'!G16</f>
        <v>#DIV/0!</v>
      </c>
      <c r="E18" s="47" t="e">
        <f>'22'!I16</f>
        <v>#DIV/0!</v>
      </c>
      <c r="F18" s="47" t="e">
        <f>'22'!K16</f>
        <v>#DIV/0!</v>
      </c>
      <c r="G18" s="47" t="e">
        <f>'22'!M16</f>
        <v>#DIV/0!</v>
      </c>
      <c r="H18" s="47" t="e">
        <f>'22'!O16</f>
        <v>#DIV/0!</v>
      </c>
      <c r="I18" s="47" t="e">
        <f>'22'!Q16</f>
        <v>#DIV/0!</v>
      </c>
      <c r="J18" s="47" t="e">
        <f>'22'!S16</f>
        <v>#DIV/0!</v>
      </c>
      <c r="K18" s="47" t="e">
        <f>'22'!U16</f>
        <v>#DIV/0!</v>
      </c>
    </row>
    <row r="19" spans="1:16">
      <c r="A19" s="52" t="s">
        <v>294</v>
      </c>
      <c r="B19" s="47" t="e">
        <f>'22'!C46</f>
        <v>#DIV/0!</v>
      </c>
      <c r="C19" s="47" t="e">
        <f>'22'!E46</f>
        <v>#DIV/0!</v>
      </c>
      <c r="D19" s="47" t="e">
        <f>'22'!G46</f>
        <v>#DIV/0!</v>
      </c>
      <c r="E19" s="47" t="e">
        <f>'22'!I46</f>
        <v>#DIV/0!</v>
      </c>
      <c r="F19" s="47" t="e">
        <f>'22'!K46</f>
        <v>#DIV/0!</v>
      </c>
      <c r="G19" s="47" t="e">
        <f>'22'!M46</f>
        <v>#DIV/0!</v>
      </c>
      <c r="H19" s="47" t="e">
        <f>'22'!O46</f>
        <v>#DIV/0!</v>
      </c>
      <c r="I19" s="47" t="e">
        <f>'22'!Q46</f>
        <v>#DIV/0!</v>
      </c>
      <c r="J19" s="47" t="e">
        <f>'22'!S46</f>
        <v>#DIV/0!</v>
      </c>
      <c r="K19" s="47" t="e">
        <f>'22'!U46</f>
        <v>#DIV/0!</v>
      </c>
    </row>
    <row r="20" spans="1:16">
      <c r="A20" s="52" t="s">
        <v>295</v>
      </c>
      <c r="B20" s="47">
        <f>'22'!C54</f>
        <v>0</v>
      </c>
      <c r="C20" s="47">
        <f>'22'!E54</f>
        <v>0</v>
      </c>
      <c r="D20" s="47">
        <f>'22'!G54</f>
        <v>0</v>
      </c>
      <c r="E20" s="47">
        <f>'22'!I54</f>
        <v>0</v>
      </c>
      <c r="F20" s="47">
        <f>'22'!K54</f>
        <v>0</v>
      </c>
      <c r="G20" s="47">
        <f>'22'!M54</f>
        <v>0</v>
      </c>
      <c r="H20" s="47">
        <f>'22'!O54</f>
        <v>0</v>
      </c>
      <c r="I20" s="47">
        <f>'22'!Q54</f>
        <v>0</v>
      </c>
      <c r="J20" s="47">
        <f>'22'!S54</f>
        <v>0</v>
      </c>
      <c r="K20" s="47">
        <f>'22'!U54</f>
        <v>0</v>
      </c>
    </row>
    <row r="21" spans="1:16">
      <c r="A21" s="52" t="s">
        <v>296</v>
      </c>
      <c r="B21" s="47">
        <f>'22'!C59</f>
        <v>0</v>
      </c>
      <c r="C21" s="47">
        <f>'22'!E59</f>
        <v>0</v>
      </c>
      <c r="D21" s="47">
        <f>'22'!G59</f>
        <v>0</v>
      </c>
      <c r="E21" s="47">
        <f>'22'!I59</f>
        <v>0</v>
      </c>
      <c r="F21" s="47">
        <f>'22'!K59</f>
        <v>0</v>
      </c>
      <c r="G21" s="47">
        <f>'22'!M59</f>
        <v>0</v>
      </c>
      <c r="H21" s="47">
        <f>'22'!O59</f>
        <v>0</v>
      </c>
      <c r="I21" s="47">
        <f>'22'!Q59</f>
        <v>0</v>
      </c>
      <c r="J21" s="47">
        <f>'22'!S59</f>
        <v>0</v>
      </c>
      <c r="K21" s="47">
        <f>'22'!U59</f>
        <v>0</v>
      </c>
    </row>
    <row r="22" spans="1:16">
      <c r="A22" s="52" t="s">
        <v>297</v>
      </c>
      <c r="B22" s="47"/>
      <c r="C22" s="47"/>
      <c r="D22" s="47"/>
      <c r="E22" s="47"/>
      <c r="F22" s="47"/>
      <c r="G22" s="47"/>
      <c r="H22" s="47"/>
      <c r="I22" s="47"/>
      <c r="J22" s="47"/>
      <c r="K22" s="47"/>
    </row>
    <row r="23" spans="1:16">
      <c r="A23" s="52" t="s">
        <v>298</v>
      </c>
      <c r="B23" s="47">
        <f>'22'!C64</f>
        <v>0</v>
      </c>
      <c r="C23" s="47">
        <f>'22'!E64</f>
        <v>0</v>
      </c>
      <c r="D23" s="47">
        <f>'22'!G64</f>
        <v>0</v>
      </c>
      <c r="E23" s="47">
        <f>'22'!I64</f>
        <v>0</v>
      </c>
      <c r="F23" s="47">
        <f>'22'!K64</f>
        <v>0</v>
      </c>
      <c r="G23" s="47" t="e">
        <f>'22'!M64</f>
        <v>#DIV/0!</v>
      </c>
      <c r="H23" s="47" t="e">
        <f>'22'!O64</f>
        <v>#DIV/0!</v>
      </c>
      <c r="I23" s="47" t="e">
        <f>'22'!Q64</f>
        <v>#DIV/0!</v>
      </c>
      <c r="J23" s="47" t="e">
        <f>'22'!S64</f>
        <v>#DIV/0!</v>
      </c>
      <c r="K23" s="47" t="e">
        <f>'22'!U64</f>
        <v>#DIV/0!</v>
      </c>
    </row>
    <row r="24" spans="1:16">
      <c r="A24" s="52" t="s">
        <v>299</v>
      </c>
      <c r="B24" s="47">
        <f>'22'!C69</f>
        <v>0</v>
      </c>
      <c r="C24" s="47">
        <f>'22'!E69</f>
        <v>0</v>
      </c>
      <c r="D24" s="47">
        <f>'22'!G69</f>
        <v>0</v>
      </c>
      <c r="E24" s="47">
        <f>'22'!I69</f>
        <v>0</v>
      </c>
      <c r="F24" s="47">
        <f>'22'!K69</f>
        <v>0</v>
      </c>
      <c r="G24" s="47" t="e">
        <f>'22'!M69</f>
        <v>#DIV/0!</v>
      </c>
      <c r="H24" s="47" t="e">
        <f>'22'!O69</f>
        <v>#DIV/0!</v>
      </c>
      <c r="I24" s="47" t="e">
        <f>'22'!Q69</f>
        <v>#DIV/0!</v>
      </c>
      <c r="J24" s="47" t="e">
        <f>'22'!S69</f>
        <v>#DIV/0!</v>
      </c>
      <c r="K24" s="47" t="e">
        <f>'22'!U69</f>
        <v>#DIV/0!</v>
      </c>
    </row>
    <row r="25" spans="1:16">
      <c r="A25" s="52" t="s">
        <v>300</v>
      </c>
      <c r="B25" s="47">
        <f>'22'!C74</f>
        <v>0</v>
      </c>
      <c r="C25" s="47">
        <f>'22'!E74</f>
        <v>0</v>
      </c>
      <c r="D25" s="47">
        <f>'22'!G74</f>
        <v>0</v>
      </c>
      <c r="E25" s="47">
        <f>'22'!I74</f>
        <v>0</v>
      </c>
      <c r="F25" s="47">
        <f>'22'!K74</f>
        <v>0</v>
      </c>
      <c r="G25" s="47" t="e">
        <f>'22'!M74</f>
        <v>#DIV/0!</v>
      </c>
      <c r="H25" s="47" t="e">
        <f>'22'!O74</f>
        <v>#DIV/0!</v>
      </c>
      <c r="I25" s="47" t="e">
        <f>'22'!Q74</f>
        <v>#DIV/0!</v>
      </c>
      <c r="J25" s="47" t="e">
        <f>'22'!S74</f>
        <v>#DIV/0!</v>
      </c>
      <c r="K25" s="47" t="e">
        <f>'22'!U74</f>
        <v>#DIV/0!</v>
      </c>
    </row>
    <row r="26" spans="1:16">
      <c r="A26" s="52" t="s">
        <v>301</v>
      </c>
      <c r="B26" s="47">
        <f>Financials!C37</f>
        <v>0</v>
      </c>
      <c r="C26" s="47">
        <f>Financials!D37</f>
        <v>0</v>
      </c>
      <c r="D26" s="47">
        <f>Financials!E37</f>
        <v>0</v>
      </c>
      <c r="E26" s="47">
        <f>Financials!F37</f>
        <v>0</v>
      </c>
      <c r="F26" s="47">
        <f>Financials!G37</f>
        <v>0</v>
      </c>
      <c r="G26" s="47">
        <f>Financials!H37</f>
        <v>0</v>
      </c>
      <c r="H26" s="47">
        <f>Financials!I37</f>
        <v>0</v>
      </c>
      <c r="I26" s="47">
        <f>Financials!J37</f>
        <v>0</v>
      </c>
      <c r="J26" s="47">
        <f>Financials!K37</f>
        <v>0</v>
      </c>
      <c r="K26" s="47">
        <f>Financials!L37</f>
        <v>0</v>
      </c>
    </row>
    <row r="27" spans="1:16">
      <c r="A27" s="52" t="s">
        <v>302</v>
      </c>
      <c r="B27" s="47">
        <f>Financials!C38</f>
        <v>0</v>
      </c>
      <c r="C27" s="47">
        <f>Financials!D38</f>
        <v>0</v>
      </c>
      <c r="D27" s="47">
        <f>Financials!E38</f>
        <v>0</v>
      </c>
      <c r="E27" s="47">
        <f>Financials!F38</f>
        <v>0</v>
      </c>
      <c r="F27" s="47">
        <f>Financials!G38</f>
        <v>0</v>
      </c>
      <c r="G27" s="47">
        <f>Financials!H38</f>
        <v>0</v>
      </c>
      <c r="H27" s="47">
        <f>Financials!I38</f>
        <v>0</v>
      </c>
      <c r="I27" s="47">
        <f>Financials!J38</f>
        <v>0</v>
      </c>
      <c r="J27" s="47">
        <f>Financials!K38</f>
        <v>0</v>
      </c>
      <c r="K27" s="47">
        <f>Financials!L38</f>
        <v>0</v>
      </c>
      <c r="M27" s="118"/>
      <c r="N27" s="118"/>
      <c r="O27" s="118"/>
      <c r="P27" s="118"/>
    </row>
    <row r="28" spans="1:16">
      <c r="A28" s="52" t="s">
        <v>303</v>
      </c>
      <c r="B28" s="47">
        <f>Financials!C39</f>
        <v>0</v>
      </c>
      <c r="C28" s="47">
        <f>Financials!D39</f>
        <v>0</v>
      </c>
      <c r="D28" s="47">
        <f>Financials!E39</f>
        <v>0</v>
      </c>
      <c r="E28" s="47">
        <f>Financials!F39</f>
        <v>0</v>
      </c>
      <c r="F28" s="47">
        <f>Financials!G39</f>
        <v>0</v>
      </c>
      <c r="G28" s="47">
        <f>Financials!H39</f>
        <v>0</v>
      </c>
      <c r="H28" s="47">
        <f>Financials!I39</f>
        <v>0</v>
      </c>
      <c r="I28" s="47">
        <f>Financials!J39</f>
        <v>0</v>
      </c>
      <c r="J28" s="47">
        <f>Financials!K39</f>
        <v>0</v>
      </c>
      <c r="K28" s="47">
        <f>Financials!L39</f>
        <v>0</v>
      </c>
    </row>
    <row r="29" spans="1:16" s="58" customFormat="1" ht="16.5" thickBot="1">
      <c r="A29" s="173" t="s">
        <v>304</v>
      </c>
      <c r="B29" s="174" t="e">
        <f>SUBTOTAL(109,B18:B28)</f>
        <v>#DIV/0!</v>
      </c>
      <c r="C29" s="174" t="e">
        <f>SUBTOTAL(109,C18:C28)</f>
        <v>#DIV/0!</v>
      </c>
      <c r="D29" s="174" t="e">
        <f t="shared" ref="D29:K29" si="3">SUBTOTAL(109,D18:D28)</f>
        <v>#DIV/0!</v>
      </c>
      <c r="E29" s="174" t="e">
        <f t="shared" si="3"/>
        <v>#DIV/0!</v>
      </c>
      <c r="F29" s="174" t="e">
        <f t="shared" si="3"/>
        <v>#DIV/0!</v>
      </c>
      <c r="G29" s="174" t="e">
        <f t="shared" si="3"/>
        <v>#DIV/0!</v>
      </c>
      <c r="H29" s="174" t="e">
        <f t="shared" si="3"/>
        <v>#DIV/0!</v>
      </c>
      <c r="I29" s="174" t="e">
        <f t="shared" si="3"/>
        <v>#DIV/0!</v>
      </c>
      <c r="J29" s="174" t="e">
        <f t="shared" si="3"/>
        <v>#DIV/0!</v>
      </c>
      <c r="K29" s="174" t="e">
        <f t="shared" si="3"/>
        <v>#DIV/0!</v>
      </c>
    </row>
    <row r="30" spans="1:16" s="58" customFormat="1" ht="16.5" thickTop="1">
      <c r="B30" s="49"/>
      <c r="C30" s="49"/>
      <c r="D30" s="49"/>
      <c r="E30" s="49"/>
      <c r="F30" s="49"/>
      <c r="G30" s="49"/>
      <c r="H30" s="49"/>
      <c r="I30" s="49"/>
      <c r="J30" s="49"/>
      <c r="K30" s="49"/>
    </row>
    <row r="31" spans="1:16" s="58" customFormat="1" ht="15.75">
      <c r="A31" s="58" t="s">
        <v>305</v>
      </c>
      <c r="B31" s="49" t="e">
        <f>B15-B29</f>
        <v>#DIV/0!</v>
      </c>
      <c r="C31" s="49" t="e">
        <f t="shared" ref="C31:K31" si="4">C15-C29</f>
        <v>#DIV/0!</v>
      </c>
      <c r="D31" s="49" t="e">
        <f t="shared" si="4"/>
        <v>#DIV/0!</v>
      </c>
      <c r="E31" s="49" t="e">
        <f t="shared" si="4"/>
        <v>#DIV/0!</v>
      </c>
      <c r="F31" s="49" t="e">
        <f t="shared" si="4"/>
        <v>#DIV/0!</v>
      </c>
      <c r="G31" s="49" t="e">
        <f t="shared" si="4"/>
        <v>#DIV/0!</v>
      </c>
      <c r="H31" s="49" t="e">
        <f t="shared" si="4"/>
        <v>#DIV/0!</v>
      </c>
      <c r="I31" s="49" t="e">
        <f t="shared" si="4"/>
        <v>#DIV/0!</v>
      </c>
      <c r="J31" s="49" t="e">
        <f t="shared" si="4"/>
        <v>#DIV/0!</v>
      </c>
      <c r="K31" s="49" t="e">
        <f t="shared" si="4"/>
        <v>#DIV/0!</v>
      </c>
    </row>
    <row r="32" spans="1:16" s="58" customFormat="1" ht="15.75">
      <c r="A32" s="58" t="s">
        <v>306</v>
      </c>
      <c r="B32" s="50" t="e">
        <f>B31/B15</f>
        <v>#DIV/0!</v>
      </c>
      <c r="C32" s="50" t="e">
        <f t="shared" ref="C32:K32" si="5">C31/C15</f>
        <v>#DIV/0!</v>
      </c>
      <c r="D32" s="50" t="e">
        <f t="shared" si="5"/>
        <v>#DIV/0!</v>
      </c>
      <c r="E32" s="50" t="e">
        <f t="shared" si="5"/>
        <v>#DIV/0!</v>
      </c>
      <c r="F32" s="50" t="e">
        <f t="shared" si="5"/>
        <v>#DIV/0!</v>
      </c>
      <c r="G32" s="50" t="e">
        <f t="shared" si="5"/>
        <v>#DIV/0!</v>
      </c>
      <c r="H32" s="50" t="e">
        <f t="shared" si="5"/>
        <v>#DIV/0!</v>
      </c>
      <c r="I32" s="50" t="e">
        <f t="shared" si="5"/>
        <v>#DIV/0!</v>
      </c>
      <c r="J32" s="50" t="e">
        <f t="shared" si="5"/>
        <v>#DIV/0!</v>
      </c>
      <c r="K32" s="50" t="e">
        <f t="shared" si="5"/>
        <v>#DIV/0!</v>
      </c>
    </row>
    <row r="33" spans="1:11" s="58" customFormat="1" ht="15.75">
      <c r="B33" s="163"/>
      <c r="C33" s="163"/>
      <c r="D33" s="163"/>
      <c r="E33" s="163"/>
      <c r="F33" s="163"/>
      <c r="G33" s="163"/>
      <c r="H33" s="163"/>
      <c r="I33" s="163"/>
      <c r="J33" s="163"/>
      <c r="K33" s="163"/>
    </row>
    <row r="34" spans="1:11">
      <c r="A34" s="52" t="s">
        <v>307</v>
      </c>
      <c r="B34" s="52">
        <f>Financials!C40</f>
        <v>0</v>
      </c>
      <c r="C34" s="52">
        <f>Financials!D40</f>
        <v>0</v>
      </c>
      <c r="D34" s="52">
        <f>Financials!E40</f>
        <v>0</v>
      </c>
      <c r="E34" s="52">
        <f>Financials!F40</f>
        <v>0</v>
      </c>
      <c r="F34" s="52">
        <f>Financials!G40</f>
        <v>0</v>
      </c>
      <c r="G34" s="52">
        <f>Financials!H40</f>
        <v>0</v>
      </c>
      <c r="H34" s="52">
        <f>Financials!I40</f>
        <v>0</v>
      </c>
      <c r="I34" s="52">
        <f>Financials!J40</f>
        <v>0</v>
      </c>
      <c r="J34" s="52">
        <f>Financials!K40</f>
        <v>0</v>
      </c>
      <c r="K34" s="52">
        <f>Financials!L40</f>
        <v>0</v>
      </c>
    </row>
    <row r="35" spans="1:11">
      <c r="A35" s="52" t="s">
        <v>308</v>
      </c>
      <c r="B35" s="52">
        <f>Financials!C41</f>
        <v>0</v>
      </c>
      <c r="C35" s="52">
        <f>Financials!D41</f>
        <v>0</v>
      </c>
      <c r="D35" s="52">
        <f>Financials!E41</f>
        <v>0</v>
      </c>
      <c r="E35" s="52">
        <f>Financials!F41</f>
        <v>0</v>
      </c>
      <c r="F35" s="52">
        <f>Financials!G41</f>
        <v>0</v>
      </c>
      <c r="G35" s="52">
        <f>Financials!H41</f>
        <v>0</v>
      </c>
      <c r="H35" s="52">
        <f>Financials!I41</f>
        <v>0</v>
      </c>
      <c r="I35" s="52">
        <f>Financials!J41</f>
        <v>0</v>
      </c>
      <c r="J35" s="52">
        <f>Financials!K41</f>
        <v>0</v>
      </c>
      <c r="K35" s="52">
        <f>Financials!L41</f>
        <v>0</v>
      </c>
    </row>
    <row r="36" spans="1:11" s="144" customFormat="1">
      <c r="A36" s="144" t="s">
        <v>309</v>
      </c>
      <c r="B36" s="143">
        <f>('1'!$B$24*'2'!$C$23*12)/100000</f>
        <v>0</v>
      </c>
      <c r="C36" s="143">
        <f>('1'!$B$24*'2'!$C$23*12)/100000</f>
        <v>0</v>
      </c>
      <c r="D36" s="143">
        <f>('1'!$B$24*'2'!$C$23*12)/100000</f>
        <v>0</v>
      </c>
      <c r="E36" s="143">
        <f>('1'!$B$24*'2'!$C$23*12)/100000</f>
        <v>0</v>
      </c>
      <c r="F36" s="143">
        <f>('1'!$B$24*'2'!$C$23*12)/100000</f>
        <v>0</v>
      </c>
      <c r="G36" s="143">
        <f>('1'!$B$24*'2'!$C$23*12)/100000</f>
        <v>0</v>
      </c>
      <c r="H36" s="143">
        <f>('1'!$B$24*'2'!$C$23*12)/100000</f>
        <v>0</v>
      </c>
      <c r="I36" s="143">
        <f>('1'!$B$24*'2'!$C$23*12)/100000</f>
        <v>0</v>
      </c>
      <c r="J36" s="143">
        <f>('1'!$B$24*'2'!$C$23*12)/100000</f>
        <v>0</v>
      </c>
      <c r="K36" s="143">
        <f>('1'!$B$24*'2'!$C$23*12)/100000</f>
        <v>0</v>
      </c>
    </row>
    <row r="37" spans="1:11" s="58" customFormat="1" ht="15.75">
      <c r="A37" s="58" t="s">
        <v>310</v>
      </c>
      <c r="B37" s="60" t="e">
        <f>B31-B34-B35-B36</f>
        <v>#DIV/0!</v>
      </c>
      <c r="C37" s="60" t="e">
        <f t="shared" ref="C37:K37" si="6">C31-C34-C35-C36</f>
        <v>#DIV/0!</v>
      </c>
      <c r="D37" s="60" t="e">
        <f t="shared" si="6"/>
        <v>#DIV/0!</v>
      </c>
      <c r="E37" s="60" t="e">
        <f t="shared" si="6"/>
        <v>#DIV/0!</v>
      </c>
      <c r="F37" s="60" t="e">
        <f t="shared" si="6"/>
        <v>#DIV/0!</v>
      </c>
      <c r="G37" s="60" t="e">
        <f t="shared" si="6"/>
        <v>#DIV/0!</v>
      </c>
      <c r="H37" s="60" t="e">
        <f t="shared" si="6"/>
        <v>#DIV/0!</v>
      </c>
      <c r="I37" s="60" t="e">
        <f t="shared" si="6"/>
        <v>#DIV/0!</v>
      </c>
      <c r="J37" s="60" t="e">
        <f t="shared" si="6"/>
        <v>#DIV/0!</v>
      </c>
      <c r="K37" s="60" t="e">
        <f t="shared" si="6"/>
        <v>#DIV/0!</v>
      </c>
    </row>
    <row r="38" spans="1:11">
      <c r="A38" s="52" t="s">
        <v>311</v>
      </c>
      <c r="B38" s="52">
        <f>Financials!C42</f>
        <v>0</v>
      </c>
      <c r="C38" s="52">
        <f>Financials!D42</f>
        <v>0</v>
      </c>
      <c r="D38" s="52">
        <f>Financials!E42</f>
        <v>0</v>
      </c>
      <c r="E38" s="52">
        <f>Financials!F42</f>
        <v>0</v>
      </c>
      <c r="F38" s="52">
        <f>Financials!G42</f>
        <v>0</v>
      </c>
      <c r="G38" s="52">
        <f>Financials!H42</f>
        <v>0</v>
      </c>
      <c r="H38" s="52">
        <f>Financials!I42</f>
        <v>0</v>
      </c>
      <c r="I38" s="52">
        <f>Financials!J42</f>
        <v>0</v>
      </c>
      <c r="J38" s="52">
        <f>Financials!K42</f>
        <v>0</v>
      </c>
      <c r="K38" s="52">
        <f>Financials!L42</f>
        <v>0</v>
      </c>
    </row>
    <row r="39" spans="1:11" ht="15.75" thickBot="1"/>
    <row r="40" spans="1:11" s="58" customFormat="1" ht="16.5" thickBot="1">
      <c r="A40" s="544" t="s">
        <v>312</v>
      </c>
      <c r="B40" s="545" t="e">
        <f>SUBTOTAL(109,B37:B39)</f>
        <v>#DIV/0!</v>
      </c>
      <c r="C40" s="545" t="e">
        <f t="shared" ref="C40:K40" si="7">SUBTOTAL(109,C37:C39)</f>
        <v>#DIV/0!</v>
      </c>
      <c r="D40" s="545" t="e">
        <f t="shared" si="7"/>
        <v>#DIV/0!</v>
      </c>
      <c r="E40" s="545" t="e">
        <f t="shared" si="7"/>
        <v>#DIV/0!</v>
      </c>
      <c r="F40" s="545" t="e">
        <f t="shared" si="7"/>
        <v>#DIV/0!</v>
      </c>
      <c r="G40" s="545" t="e">
        <f t="shared" si="7"/>
        <v>#DIV/0!</v>
      </c>
      <c r="H40" s="545" t="e">
        <f t="shared" si="7"/>
        <v>#DIV/0!</v>
      </c>
      <c r="I40" s="545" t="e">
        <f t="shared" si="7"/>
        <v>#DIV/0!</v>
      </c>
      <c r="J40" s="545" t="e">
        <f t="shared" si="7"/>
        <v>#DIV/0!</v>
      </c>
      <c r="K40" s="546" t="e">
        <f t="shared" si="7"/>
        <v>#DIV/0!</v>
      </c>
    </row>
  </sheetData>
  <sheetProtection password="DA39" sheet="1" objects="1" scenarios="1" selectLockedCells="1"/>
  <mergeCells count="1">
    <mergeCell ref="A1:K1"/>
  </mergeCells>
  <printOptions horizontalCentered="1"/>
  <pageMargins left="0.25" right="0.25" top="0.75" bottom="0.75" header="0.3" footer="0.3"/>
  <pageSetup scale="82" orientation="landscape" r:id="rId1"/>
  <headerFooter>
    <oddFooter>&amp;L&amp;F&amp;R&amp;A</oddFooter>
  </headerFooter>
  <tableParts count="1">
    <tablePart r:id="rId2"/>
  </tableParts>
</worksheet>
</file>

<file path=xl/worksheets/sheet24.xml><?xml version="1.0" encoding="utf-8"?>
<worksheet xmlns="http://schemas.openxmlformats.org/spreadsheetml/2006/main" xmlns:r="http://schemas.openxmlformats.org/officeDocument/2006/relationships">
  <sheetPr>
    <pageSetUpPr fitToPage="1"/>
  </sheetPr>
  <dimension ref="A1:N40"/>
  <sheetViews>
    <sheetView showGridLines="0" workbookViewId="0">
      <selection activeCell="E3" sqref="E3"/>
    </sheetView>
  </sheetViews>
  <sheetFormatPr defaultRowHeight="15"/>
  <cols>
    <col min="1" max="1" width="36.85546875" style="64" customWidth="1"/>
    <col min="2" max="2" width="11.140625" style="52" customWidth="1"/>
    <col min="3" max="11" width="11.140625" style="47" customWidth="1"/>
    <col min="12" max="12" width="11.5703125" style="52" bestFit="1" customWidth="1"/>
    <col min="13" max="14" width="11.140625" style="52" customWidth="1"/>
    <col min="15" max="16384" width="9.140625" style="52"/>
  </cols>
  <sheetData>
    <row r="1" spans="1:14" ht="16.5" thickBot="1">
      <c r="A1" s="840" t="s">
        <v>444</v>
      </c>
      <c r="B1" s="841"/>
      <c r="C1" s="841"/>
      <c r="D1" s="841"/>
      <c r="E1" s="841"/>
      <c r="F1" s="841"/>
      <c r="G1" s="841"/>
      <c r="H1" s="841"/>
      <c r="I1" s="841"/>
      <c r="J1" s="841"/>
      <c r="K1" s="841"/>
      <c r="L1" s="841"/>
      <c r="M1" s="841"/>
      <c r="N1" s="842"/>
    </row>
    <row r="2" spans="1:14">
      <c r="A2" s="147" t="s">
        <v>440</v>
      </c>
      <c r="B2" s="148">
        <f>'1'!B22</f>
        <v>0</v>
      </c>
      <c r="C2" s="149" t="s">
        <v>282</v>
      </c>
      <c r="D2" s="150"/>
      <c r="E2" s="150"/>
      <c r="F2" s="150"/>
      <c r="G2" s="150"/>
      <c r="H2" s="150"/>
      <c r="I2" s="150"/>
      <c r="J2" s="150"/>
      <c r="K2" s="150"/>
      <c r="L2" s="151"/>
      <c r="M2" s="151"/>
    </row>
    <row r="3" spans="1:14">
      <c r="A3" s="152" t="s">
        <v>441</v>
      </c>
      <c r="B3" s="153">
        <f>'1'!B23</f>
        <v>0</v>
      </c>
      <c r="C3" s="154" t="s">
        <v>314</v>
      </c>
      <c r="D3" s="146"/>
      <c r="E3" s="146"/>
      <c r="F3" s="146"/>
      <c r="G3" s="146"/>
      <c r="H3" s="146"/>
      <c r="I3" s="146"/>
      <c r="J3" s="146"/>
      <c r="K3" s="146"/>
      <c r="L3" s="145"/>
      <c r="M3" s="145"/>
    </row>
    <row r="4" spans="1:14" ht="15.75" thickBot="1">
      <c r="A4" s="155" t="s">
        <v>442</v>
      </c>
      <c r="B4" s="156">
        <f>'1'!B15</f>
        <v>0</v>
      </c>
      <c r="C4" s="157"/>
      <c r="D4" s="146"/>
      <c r="E4" s="146"/>
      <c r="F4" s="146"/>
      <c r="G4" s="146"/>
      <c r="H4" s="146"/>
      <c r="I4" s="146"/>
      <c r="J4" s="146"/>
      <c r="K4" s="146"/>
      <c r="L4" s="145"/>
      <c r="M4" s="145"/>
    </row>
    <row r="5" spans="1:14" ht="15.75" thickBot="1">
      <c r="A5" s="52"/>
      <c r="N5" s="158" t="s">
        <v>681</v>
      </c>
    </row>
    <row r="6" spans="1:14" ht="16.5" thickBot="1">
      <c r="A6" s="159" t="s">
        <v>623</v>
      </c>
      <c r="B6" s="160">
        <f>'1'!B20</f>
        <v>0</v>
      </c>
      <c r="C6" s="877">
        <f>B6+1</f>
        <v>1</v>
      </c>
      <c r="D6" s="877">
        <f>C6+1</f>
        <v>2</v>
      </c>
      <c r="E6" s="877">
        <f t="shared" ref="E6:M6" si="0">D6+1</f>
        <v>3</v>
      </c>
      <c r="F6" s="877">
        <f t="shared" si="0"/>
        <v>4</v>
      </c>
      <c r="G6" s="877">
        <f t="shared" si="0"/>
        <v>5</v>
      </c>
      <c r="H6" s="877">
        <f t="shared" si="0"/>
        <v>6</v>
      </c>
      <c r="I6" s="877">
        <f t="shared" si="0"/>
        <v>7</v>
      </c>
      <c r="J6" s="877">
        <f t="shared" si="0"/>
        <v>8</v>
      </c>
      <c r="K6" s="877">
        <f t="shared" si="0"/>
        <v>9</v>
      </c>
      <c r="L6" s="877">
        <f t="shared" si="0"/>
        <v>10</v>
      </c>
      <c r="M6" s="877">
        <f t="shared" si="0"/>
        <v>11</v>
      </c>
      <c r="N6" s="878">
        <f>M6+1</f>
        <v>12</v>
      </c>
    </row>
    <row r="7" spans="1:14">
      <c r="A7" s="64" t="s">
        <v>148</v>
      </c>
      <c r="B7" s="47">
        <f>-'6'!F52</f>
        <v>0</v>
      </c>
      <c r="C7" s="47">
        <f>-('6'!G52+'6'!H52+'6'!I52+'6'!J52)</f>
        <v>0</v>
      </c>
      <c r="D7" s="47">
        <f>-'6'!K52-'6'!L52-'6'!M52-'6'!N52</f>
        <v>0</v>
      </c>
    </row>
    <row r="8" spans="1:14">
      <c r="A8" s="64" t="s">
        <v>315</v>
      </c>
      <c r="B8" s="47">
        <f>-'6'!F51</f>
        <v>0</v>
      </c>
      <c r="C8" s="47">
        <f>-'6'!G51-'6'!H51-'6'!I51-'6'!J51</f>
        <v>0</v>
      </c>
      <c r="D8" s="47">
        <f>-'6'!K51-'6'!L51-'6'!M51-'6'!N51</f>
        <v>0</v>
      </c>
    </row>
    <row r="9" spans="1:14">
      <c r="A9" s="64" t="s">
        <v>316</v>
      </c>
      <c r="E9" s="47" t="e">
        <f>'17'!B40</f>
        <v>#DIV/0!</v>
      </c>
      <c r="F9" s="47" t="e">
        <f>'17'!C40</f>
        <v>#DIV/0!</v>
      </c>
      <c r="G9" s="47" t="e">
        <f>'17'!D40</f>
        <v>#DIV/0!</v>
      </c>
      <c r="H9" s="47" t="e">
        <f>'17'!E40</f>
        <v>#DIV/0!</v>
      </c>
      <c r="I9" s="47" t="e">
        <f>'17'!F40</f>
        <v>#DIV/0!</v>
      </c>
      <c r="J9" s="47" t="e">
        <f>'17'!G40</f>
        <v>#DIV/0!</v>
      </c>
      <c r="K9" s="47" t="e">
        <f>'17'!H40</f>
        <v>#DIV/0!</v>
      </c>
      <c r="L9" s="56" t="e">
        <f>'17'!I40</f>
        <v>#DIV/0!</v>
      </c>
      <c r="M9" s="56" t="e">
        <f>'17'!J40</f>
        <v>#DIV/0!</v>
      </c>
      <c r="N9" s="56" t="e">
        <f>'17'!K40</f>
        <v>#DIV/0!</v>
      </c>
    </row>
    <row r="10" spans="1:14">
      <c r="A10" s="64" t="s">
        <v>317</v>
      </c>
      <c r="B10" s="162">
        <f>B7</f>
        <v>0</v>
      </c>
      <c r="C10" s="162">
        <f>C7</f>
        <v>0</v>
      </c>
      <c r="D10" s="162">
        <f>D7</f>
        <v>0</v>
      </c>
      <c r="E10" s="47" t="e">
        <f>E9</f>
        <v>#DIV/0!</v>
      </c>
      <c r="F10" s="47" t="e">
        <f t="shared" ref="F10:N10" si="1">F9</f>
        <v>#DIV/0!</v>
      </c>
      <c r="G10" s="47" t="e">
        <f t="shared" si="1"/>
        <v>#DIV/0!</v>
      </c>
      <c r="H10" s="47" t="e">
        <f t="shared" si="1"/>
        <v>#DIV/0!</v>
      </c>
      <c r="I10" s="47" t="e">
        <f t="shared" si="1"/>
        <v>#DIV/0!</v>
      </c>
      <c r="J10" s="47" t="e">
        <f t="shared" si="1"/>
        <v>#DIV/0!</v>
      </c>
      <c r="K10" s="47" t="e">
        <f t="shared" si="1"/>
        <v>#DIV/0!</v>
      </c>
      <c r="L10" s="56" t="e">
        <f t="shared" si="1"/>
        <v>#DIV/0!</v>
      </c>
      <c r="M10" s="56" t="e">
        <f t="shared" si="1"/>
        <v>#DIV/0!</v>
      </c>
      <c r="N10" s="56" t="e">
        <f t="shared" si="1"/>
        <v>#DIV/0!</v>
      </c>
    </row>
    <row r="12" spans="1:14">
      <c r="A12" s="64" t="s">
        <v>318</v>
      </c>
      <c r="E12" s="47">
        <f>B40</f>
        <v>0</v>
      </c>
      <c r="F12" s="47" t="e">
        <f>C40</f>
        <v>#DIV/0!</v>
      </c>
      <c r="G12" s="47" t="e">
        <f t="shared" ref="G12:N12" si="2">D40</f>
        <v>#DIV/0!</v>
      </c>
      <c r="H12" s="47" t="e">
        <f t="shared" si="2"/>
        <v>#DIV/0!</v>
      </c>
      <c r="I12" s="47" t="e">
        <f t="shared" si="2"/>
        <v>#DIV/0!</v>
      </c>
      <c r="J12" s="47" t="e">
        <f t="shared" si="2"/>
        <v>#DIV/0!</v>
      </c>
      <c r="K12" s="47" t="e">
        <f t="shared" si="2"/>
        <v>#DIV/0!</v>
      </c>
      <c r="L12" s="47" t="e">
        <f t="shared" si="2"/>
        <v>#DIV/0!</v>
      </c>
      <c r="M12" s="47">
        <f t="shared" si="2"/>
        <v>0</v>
      </c>
      <c r="N12" s="47">
        <f t="shared" si="2"/>
        <v>0</v>
      </c>
    </row>
    <row r="13" spans="1:14">
      <c r="A13" s="3" t="s">
        <v>565</v>
      </c>
      <c r="B13" s="599"/>
      <c r="E13" s="47">
        <f>Deprn!E12</f>
        <v>0</v>
      </c>
      <c r="F13" s="47">
        <f>Deprn!G12</f>
        <v>0</v>
      </c>
      <c r="G13" s="47">
        <f>Deprn!I12</f>
        <v>0</v>
      </c>
      <c r="H13" s="47">
        <f>Deprn!K12</f>
        <v>0</v>
      </c>
      <c r="I13" s="47">
        <f>Deprn!M12</f>
        <v>0</v>
      </c>
      <c r="J13" s="47">
        <f>Deprn!O12</f>
        <v>0</v>
      </c>
      <c r="K13" s="47">
        <f>Deprn!Q12</f>
        <v>0</v>
      </c>
      <c r="L13" s="47">
        <f>Deprn!S12</f>
        <v>0</v>
      </c>
      <c r="M13" s="47">
        <f>Deprn!U12</f>
        <v>0</v>
      </c>
      <c r="N13" s="47">
        <f>Deprn!W12</f>
        <v>0</v>
      </c>
    </row>
    <row r="14" spans="1:14" ht="15.75">
      <c r="A14" s="64" t="s">
        <v>566</v>
      </c>
      <c r="B14" s="599"/>
      <c r="E14" s="600" t="e">
        <f>E10-E12-E13</f>
        <v>#DIV/0!</v>
      </c>
      <c r="F14" s="600" t="e">
        <f t="shared" ref="F14:N14" si="3">F10-F12-F13</f>
        <v>#DIV/0!</v>
      </c>
      <c r="G14" s="600" t="e">
        <f t="shared" si="3"/>
        <v>#DIV/0!</v>
      </c>
      <c r="H14" s="600" t="e">
        <f t="shared" si="3"/>
        <v>#DIV/0!</v>
      </c>
      <c r="I14" s="600" t="e">
        <f t="shared" si="3"/>
        <v>#DIV/0!</v>
      </c>
      <c r="J14" s="600" t="e">
        <f t="shared" si="3"/>
        <v>#DIV/0!</v>
      </c>
      <c r="K14" s="600" t="e">
        <f t="shared" si="3"/>
        <v>#DIV/0!</v>
      </c>
      <c r="L14" s="600" t="e">
        <f t="shared" si="3"/>
        <v>#DIV/0!</v>
      </c>
      <c r="M14" s="600" t="e">
        <f t="shared" si="3"/>
        <v>#DIV/0!</v>
      </c>
      <c r="N14" s="600" t="e">
        <f t="shared" si="3"/>
        <v>#DIV/0!</v>
      </c>
    </row>
    <row r="16" spans="1:14" s="144" customFormat="1">
      <c r="A16" s="986" t="s">
        <v>319</v>
      </c>
      <c r="C16" s="143"/>
      <c r="D16" s="143"/>
      <c r="E16" s="987">
        <v>0</v>
      </c>
      <c r="F16" s="987">
        <v>0</v>
      </c>
      <c r="G16" s="987" t="e">
        <f>'1'!$B$25*0.7*G14</f>
        <v>#DIV/0!</v>
      </c>
      <c r="H16" s="987" t="e">
        <f>'1'!$B$25*0.7*H14</f>
        <v>#DIV/0!</v>
      </c>
      <c r="I16" s="987" t="e">
        <f>'1'!$B$25*0.7*I14</f>
        <v>#DIV/0!</v>
      </c>
      <c r="J16" s="987" t="e">
        <f>'1'!$B$25*0.7*J14</f>
        <v>#DIV/0!</v>
      </c>
      <c r="K16" s="987" t="e">
        <f>'1'!$B$25*0.7*K14</f>
        <v>#DIV/0!</v>
      </c>
      <c r="L16" s="987" t="e">
        <f>'1'!$B$25*0.7*L14</f>
        <v>#DIV/0!</v>
      </c>
      <c r="M16" s="987" t="e">
        <f>'1'!$B$25*0.7*M14</f>
        <v>#DIV/0!</v>
      </c>
      <c r="N16" s="987" t="e">
        <f>'1'!$B$25*0.7*N14</f>
        <v>#DIV/0!</v>
      </c>
    </row>
    <row r="17" spans="1:14">
      <c r="A17" s="64" t="s">
        <v>320</v>
      </c>
      <c r="B17" s="47"/>
      <c r="E17" s="47" t="e">
        <f>E10-E12-E16</f>
        <v>#DIV/0!</v>
      </c>
      <c r="F17" s="47" t="e">
        <f t="shared" ref="F17:N17" si="4">F10-F12-F16</f>
        <v>#DIV/0!</v>
      </c>
      <c r="G17" s="47" t="e">
        <f t="shared" si="4"/>
        <v>#DIV/0!</v>
      </c>
      <c r="H17" s="47" t="e">
        <f t="shared" si="4"/>
        <v>#DIV/0!</v>
      </c>
      <c r="I17" s="47" t="e">
        <f t="shared" si="4"/>
        <v>#DIV/0!</v>
      </c>
      <c r="J17" s="47" t="e">
        <f t="shared" si="4"/>
        <v>#DIV/0!</v>
      </c>
      <c r="K17" s="47" t="e">
        <f t="shared" si="4"/>
        <v>#DIV/0!</v>
      </c>
      <c r="L17" s="47" t="e">
        <f t="shared" si="4"/>
        <v>#DIV/0!</v>
      </c>
      <c r="M17" s="47" t="e">
        <f t="shared" si="4"/>
        <v>#DIV/0!</v>
      </c>
      <c r="N17" s="47" t="e">
        <f t="shared" si="4"/>
        <v>#DIV/0!</v>
      </c>
    </row>
    <row r="18" spans="1:14" hidden="1">
      <c r="B18" s="47">
        <f>B8</f>
        <v>0</v>
      </c>
      <c r="C18" s="47">
        <f>C8</f>
        <v>0</v>
      </c>
      <c r="D18" s="47">
        <f>D8</f>
        <v>0</v>
      </c>
      <c r="E18" s="47" t="e">
        <f>E17</f>
        <v>#DIV/0!</v>
      </c>
      <c r="F18" s="47" t="e">
        <f t="shared" ref="F18:N18" si="5">F17</f>
        <v>#DIV/0!</v>
      </c>
      <c r="G18" s="47" t="e">
        <f t="shared" si="5"/>
        <v>#DIV/0!</v>
      </c>
      <c r="H18" s="47" t="e">
        <f t="shared" si="5"/>
        <v>#DIV/0!</v>
      </c>
      <c r="I18" s="47" t="e">
        <f t="shared" si="5"/>
        <v>#DIV/0!</v>
      </c>
      <c r="J18" s="47" t="e">
        <f t="shared" si="5"/>
        <v>#DIV/0!</v>
      </c>
      <c r="K18" s="47" t="e">
        <f t="shared" si="5"/>
        <v>#DIV/0!</v>
      </c>
      <c r="L18" s="47" t="e">
        <f t="shared" si="5"/>
        <v>#DIV/0!</v>
      </c>
      <c r="M18" s="47" t="e">
        <f t="shared" si="5"/>
        <v>#DIV/0!</v>
      </c>
      <c r="N18" s="47" t="e">
        <f t="shared" si="5"/>
        <v>#DIV/0!</v>
      </c>
    </row>
    <row r="19" spans="1:14">
      <c r="A19" s="64" t="s">
        <v>321</v>
      </c>
      <c r="E19" s="47">
        <v>0</v>
      </c>
      <c r="F19" s="47" t="e">
        <f>C36</f>
        <v>#DIV/0!</v>
      </c>
      <c r="G19" s="47" t="e">
        <f t="shared" ref="G19:M19" si="6">D36</f>
        <v>#DIV/0!</v>
      </c>
      <c r="H19" s="47" t="e">
        <f t="shared" si="6"/>
        <v>#DIV/0!</v>
      </c>
      <c r="I19" s="47" t="e">
        <f t="shared" si="6"/>
        <v>#DIV/0!</v>
      </c>
      <c r="J19" s="47" t="e">
        <f t="shared" si="6"/>
        <v>#DIV/0!</v>
      </c>
      <c r="K19" s="47" t="e">
        <f t="shared" si="6"/>
        <v>#DIV/0!</v>
      </c>
      <c r="L19" s="47" t="e">
        <f t="shared" si="6"/>
        <v>#DIV/0!</v>
      </c>
      <c r="M19" s="47">
        <f t="shared" si="6"/>
        <v>0</v>
      </c>
      <c r="N19" s="47">
        <v>0</v>
      </c>
    </row>
    <row r="20" spans="1:14" s="58" customFormat="1" ht="15.75">
      <c r="A20" s="94" t="s">
        <v>322</v>
      </c>
      <c r="B20" s="135">
        <f>B7</f>
        <v>0</v>
      </c>
      <c r="C20" s="135">
        <f>C7</f>
        <v>0</v>
      </c>
      <c r="D20" s="135">
        <f>D7</f>
        <v>0</v>
      </c>
      <c r="E20" s="49" t="e">
        <f>E17-E19</f>
        <v>#DIV/0!</v>
      </c>
      <c r="F20" s="49" t="e">
        <f t="shared" ref="F20:N20" si="7">F17-F19</f>
        <v>#DIV/0!</v>
      </c>
      <c r="G20" s="49" t="e">
        <f t="shared" si="7"/>
        <v>#DIV/0!</v>
      </c>
      <c r="H20" s="49" t="e">
        <f t="shared" si="7"/>
        <v>#DIV/0!</v>
      </c>
      <c r="I20" s="49" t="e">
        <f t="shared" si="7"/>
        <v>#DIV/0!</v>
      </c>
      <c r="J20" s="49" t="e">
        <f t="shared" si="7"/>
        <v>#DIV/0!</v>
      </c>
      <c r="K20" s="49" t="e">
        <f t="shared" si="7"/>
        <v>#DIV/0!</v>
      </c>
      <c r="L20" s="49" t="e">
        <f t="shared" si="7"/>
        <v>#DIV/0!</v>
      </c>
      <c r="M20" s="49" t="e">
        <f t="shared" si="7"/>
        <v>#DIV/0!</v>
      </c>
      <c r="N20" s="49" t="e">
        <f t="shared" si="7"/>
        <v>#DIV/0!</v>
      </c>
    </row>
    <row r="21" spans="1:14">
      <c r="A21" s="64" t="s">
        <v>323</v>
      </c>
      <c r="E21" s="47">
        <v>0</v>
      </c>
      <c r="F21" s="47" t="e">
        <f>E22</f>
        <v>#DIV/0!</v>
      </c>
      <c r="G21" s="47" t="e">
        <f t="shared" ref="G21:N21" si="8">F22</f>
        <v>#DIV/0!</v>
      </c>
      <c r="H21" s="47" t="e">
        <f t="shared" si="8"/>
        <v>#DIV/0!</v>
      </c>
      <c r="I21" s="47" t="e">
        <f t="shared" si="8"/>
        <v>#DIV/0!</v>
      </c>
      <c r="J21" s="47" t="e">
        <f t="shared" si="8"/>
        <v>#DIV/0!</v>
      </c>
      <c r="K21" s="47" t="e">
        <f t="shared" si="8"/>
        <v>#DIV/0!</v>
      </c>
      <c r="L21" s="47" t="e">
        <f t="shared" si="8"/>
        <v>#DIV/0!</v>
      </c>
      <c r="M21" s="47" t="e">
        <f t="shared" si="8"/>
        <v>#DIV/0!</v>
      </c>
      <c r="N21" s="47" t="e">
        <f t="shared" si="8"/>
        <v>#DIV/0!</v>
      </c>
    </row>
    <row r="22" spans="1:14" s="58" customFormat="1" ht="15.75">
      <c r="A22" s="94" t="s">
        <v>324</v>
      </c>
      <c r="C22" s="49"/>
      <c r="D22" s="49"/>
      <c r="E22" s="49" t="e">
        <f>SUBTOTAL(109,E20:E21)</f>
        <v>#DIV/0!</v>
      </c>
      <c r="F22" s="49" t="e">
        <f t="shared" ref="F22:M22" si="9">SUBTOTAL(109,F20:F21)</f>
        <v>#DIV/0!</v>
      </c>
      <c r="G22" s="49" t="e">
        <f t="shared" si="9"/>
        <v>#DIV/0!</v>
      </c>
      <c r="H22" s="49" t="e">
        <f t="shared" si="9"/>
        <v>#DIV/0!</v>
      </c>
      <c r="I22" s="49" t="e">
        <f t="shared" si="9"/>
        <v>#DIV/0!</v>
      </c>
      <c r="J22" s="49" t="e">
        <f t="shared" si="9"/>
        <v>#DIV/0!</v>
      </c>
      <c r="K22" s="49" t="e">
        <f t="shared" si="9"/>
        <v>#DIV/0!</v>
      </c>
      <c r="L22" s="49" t="e">
        <f t="shared" si="9"/>
        <v>#DIV/0!</v>
      </c>
      <c r="M22" s="49" t="e">
        <f t="shared" si="9"/>
        <v>#DIV/0!</v>
      </c>
      <c r="N22" s="49" t="e">
        <f>SUBTOTAL(109,N20:N21)</f>
        <v>#DIV/0!</v>
      </c>
    </row>
    <row r="23" spans="1:14" s="58" customFormat="1" ht="15.75">
      <c r="A23" s="94"/>
      <c r="B23" s="163"/>
      <c r="C23" s="49"/>
      <c r="D23" s="49"/>
      <c r="E23" s="49"/>
      <c r="F23" s="49"/>
      <c r="G23" s="49"/>
      <c r="H23" s="49"/>
      <c r="I23" s="49"/>
      <c r="J23" s="49"/>
      <c r="K23" s="49"/>
      <c r="L23" s="60"/>
      <c r="M23" s="60"/>
      <c r="N23" s="60"/>
    </row>
    <row r="24" spans="1:14" s="58" customFormat="1" ht="31.5">
      <c r="A24" s="94" t="s">
        <v>443</v>
      </c>
      <c r="B24" s="164" t="e">
        <f>((E10+F10+G10+H10+I10+J10+K10+L10)-(E16+F16+G16+H16+I16+J16+K16+L16))/(L34+L40)</f>
        <v>#DIV/0!</v>
      </c>
      <c r="C24" s="164"/>
      <c r="D24" s="165"/>
      <c r="E24" s="164" t="e">
        <f>(E10-E16)/(E12+E19)</f>
        <v>#DIV/0!</v>
      </c>
      <c r="F24" s="164" t="e">
        <f t="shared" ref="F24:L24" si="10">(F10-F16)/(F12+F19)</f>
        <v>#DIV/0!</v>
      </c>
      <c r="G24" s="164" t="e">
        <f t="shared" si="10"/>
        <v>#DIV/0!</v>
      </c>
      <c r="H24" s="164" t="e">
        <f t="shared" si="10"/>
        <v>#DIV/0!</v>
      </c>
      <c r="I24" s="164" t="e">
        <f t="shared" si="10"/>
        <v>#DIV/0!</v>
      </c>
      <c r="J24" s="164" t="e">
        <f t="shared" si="10"/>
        <v>#DIV/0!</v>
      </c>
      <c r="K24" s="164" t="e">
        <f t="shared" si="10"/>
        <v>#DIV/0!</v>
      </c>
      <c r="L24" s="164" t="e">
        <f t="shared" si="10"/>
        <v>#DIV/0!</v>
      </c>
    </row>
    <row r="25" spans="1:14" s="58" customFormat="1" ht="15.75">
      <c r="A25" s="94" t="s">
        <v>618</v>
      </c>
      <c r="B25" s="163"/>
      <c r="C25" s="875" t="e">
        <f>IRR(B10:N10,0.15)</f>
        <v>#VALUE!</v>
      </c>
      <c r="D25" s="563"/>
      <c r="E25" s="49"/>
      <c r="F25" s="49"/>
      <c r="G25" s="49"/>
      <c r="H25" s="49"/>
      <c r="I25" s="49"/>
      <c r="J25" s="49"/>
      <c r="K25" s="49"/>
    </row>
    <row r="26" spans="1:14" s="58" customFormat="1" ht="15.75">
      <c r="A26" s="94" t="s">
        <v>619</v>
      </c>
      <c r="B26" s="163"/>
      <c r="C26" s="876" t="e">
        <f>IRR(B17:N17,0.15)</f>
        <v>#VALUE!</v>
      </c>
      <c r="D26" s="563"/>
      <c r="E26" s="49"/>
      <c r="F26" s="49"/>
      <c r="G26" s="49"/>
      <c r="H26" s="49"/>
      <c r="I26" s="49"/>
      <c r="J26" s="49"/>
      <c r="K26" s="49"/>
    </row>
    <row r="27" spans="1:14" s="58" customFormat="1" ht="15.75">
      <c r="A27" s="94" t="s">
        <v>620</v>
      </c>
      <c r="B27" s="163"/>
      <c r="C27" s="876" t="e">
        <f>IRR(B18:N18,0.15)</f>
        <v>#VALUE!</v>
      </c>
      <c r="D27" s="563"/>
      <c r="E27" s="49"/>
      <c r="F27" s="49"/>
      <c r="G27" s="49"/>
      <c r="H27" s="49"/>
      <c r="I27" s="49"/>
      <c r="J27" s="49"/>
      <c r="K27" s="49"/>
    </row>
    <row r="28" spans="1:14" s="58" customFormat="1" ht="31.5">
      <c r="A28" s="94" t="s">
        <v>621</v>
      </c>
      <c r="C28" s="876"/>
      <c r="D28" s="563"/>
      <c r="E28" s="49"/>
      <c r="F28" s="49"/>
      <c r="G28" s="49"/>
      <c r="H28" s="49"/>
      <c r="I28" s="49"/>
      <c r="J28" s="49"/>
      <c r="K28" s="49"/>
    </row>
    <row r="29" spans="1:14" s="58" customFormat="1" ht="15.75" hidden="1">
      <c r="A29" s="94"/>
      <c r="B29" s="49"/>
      <c r="C29" s="563">
        <f>C8</f>
        <v>0</v>
      </c>
      <c r="D29" s="563"/>
      <c r="E29" s="49" t="e">
        <f>E20</f>
        <v>#DIV/0!</v>
      </c>
      <c r="F29" s="49" t="e">
        <f>F20</f>
        <v>#DIV/0!</v>
      </c>
      <c r="G29" s="49" t="e">
        <f>G20</f>
        <v>#DIV/0!</v>
      </c>
      <c r="H29" s="49" t="e">
        <f>11*H10-(H12+H19+I19+J19+K19+L19)</f>
        <v>#DIV/0!</v>
      </c>
      <c r="I29" s="49"/>
      <c r="J29" s="49"/>
      <c r="K29" s="49"/>
    </row>
    <row r="30" spans="1:14" s="58" customFormat="1" ht="15.75">
      <c r="A30" s="94" t="s">
        <v>325</v>
      </c>
      <c r="B30" s="163"/>
      <c r="C30" s="876" t="e">
        <f>IRR(B29:H29,0.2)</f>
        <v>#VALUE!</v>
      </c>
      <c r="D30" s="563"/>
      <c r="E30" s="49"/>
      <c r="F30" s="49"/>
      <c r="G30" s="49"/>
      <c r="H30" s="49"/>
      <c r="I30" s="49"/>
      <c r="J30" s="49"/>
      <c r="K30" s="49"/>
      <c r="L30" s="135"/>
    </row>
    <row r="31" spans="1:14">
      <c r="A31" s="166"/>
      <c r="B31" s="167"/>
      <c r="C31" s="168"/>
      <c r="D31" s="168"/>
      <c r="E31" s="168"/>
      <c r="F31" s="168"/>
      <c r="G31" s="168"/>
      <c r="H31" s="168"/>
      <c r="I31" s="168"/>
      <c r="J31" s="168"/>
      <c r="K31" s="168"/>
      <c r="L31" s="168"/>
      <c r="M31" s="169"/>
      <c r="N31" s="169"/>
    </row>
    <row r="32" spans="1:14" ht="15.75" thickBot="1"/>
    <row r="33" spans="1:12" ht="16.5" thickBot="1">
      <c r="A33" s="170" t="s">
        <v>622</v>
      </c>
      <c r="B33" s="160">
        <f>'1'!B21</f>
        <v>0</v>
      </c>
      <c r="C33" s="877">
        <f>B33+1</f>
        <v>1</v>
      </c>
      <c r="D33" s="877">
        <f>C33+1</f>
        <v>2</v>
      </c>
      <c r="E33" s="877">
        <f t="shared" ref="E33:K33" si="11">D33+1</f>
        <v>3</v>
      </c>
      <c r="F33" s="877">
        <f t="shared" si="11"/>
        <v>4</v>
      </c>
      <c r="G33" s="877">
        <f t="shared" si="11"/>
        <v>5</v>
      </c>
      <c r="H33" s="877">
        <f t="shared" si="11"/>
        <v>6</v>
      </c>
      <c r="I33" s="877">
        <f t="shared" si="11"/>
        <v>7</v>
      </c>
      <c r="J33" s="877">
        <f t="shared" si="11"/>
        <v>8</v>
      </c>
      <c r="K33" s="877">
        <f t="shared" si="11"/>
        <v>9</v>
      </c>
      <c r="L33" s="171" t="s">
        <v>42</v>
      </c>
    </row>
    <row r="34" spans="1:12" ht="15.75">
      <c r="A34" s="52" t="s">
        <v>516</v>
      </c>
      <c r="B34" s="56">
        <f>'6'!E50</f>
        <v>0</v>
      </c>
      <c r="L34" s="49">
        <f>SUM(Table35[[#This Row],[Column2]:[Column11]])</f>
        <v>0</v>
      </c>
    </row>
    <row r="35" spans="1:12" ht="15.75">
      <c r="A35" s="52" t="s">
        <v>517</v>
      </c>
      <c r="C35" s="47">
        <f>B34</f>
        <v>0</v>
      </c>
      <c r="D35" s="47" t="e">
        <f>Table35[[#This Row],[Column3]]-C36</f>
        <v>#DIV/0!</v>
      </c>
      <c r="E35" s="47" t="e">
        <f>Table35[[#This Row],[Column4]]-D36</f>
        <v>#DIV/0!</v>
      </c>
      <c r="F35" s="47" t="e">
        <f>Table35[[#This Row],[Column5]]-E36</f>
        <v>#DIV/0!</v>
      </c>
      <c r="G35" s="47" t="e">
        <f>Table35[[#This Row],[Column6]]-F36</f>
        <v>#DIV/0!</v>
      </c>
      <c r="H35" s="47" t="e">
        <f>Table35[[#This Row],[Column7]]-G36</f>
        <v>#DIV/0!</v>
      </c>
      <c r="I35" s="47" t="e">
        <f>Table35[[#This Row],[Column8]]-H36</f>
        <v>#DIV/0!</v>
      </c>
      <c r="J35" s="47" t="s">
        <v>132</v>
      </c>
      <c r="K35" s="47" t="s">
        <v>132</v>
      </c>
      <c r="L35" s="49" t="e">
        <f>SUM(Table35[[#This Row],[Column2]:[Column11]])</f>
        <v>#DIV/0!</v>
      </c>
    </row>
    <row r="36" spans="1:12" ht="15.75">
      <c r="A36" s="52" t="s">
        <v>326</v>
      </c>
      <c r="C36" s="47" t="e">
        <f>$B$34/$B$3</f>
        <v>#DIV/0!</v>
      </c>
      <c r="D36" s="47" t="e">
        <f>$B$34/$B$3</f>
        <v>#DIV/0!</v>
      </c>
      <c r="E36" s="47" t="e">
        <f>$B$34/$B$3</f>
        <v>#DIV/0!</v>
      </c>
      <c r="F36" s="47" t="e">
        <f>$B$34/$B$3</f>
        <v>#DIV/0!</v>
      </c>
      <c r="G36" s="47" t="e">
        <f>$B$34/$B$3</f>
        <v>#DIV/0!</v>
      </c>
      <c r="H36" s="47" t="e">
        <f>$B$34/$B$3</f>
        <v>#DIV/0!</v>
      </c>
      <c r="I36" s="47" t="e">
        <f>$B$34/$B$3</f>
        <v>#DIV/0!</v>
      </c>
      <c r="K36" s="47" t="s">
        <v>132</v>
      </c>
      <c r="L36" s="49" t="e">
        <f>SUM(Table35[[#This Row],[Column2]:[Column11]])</f>
        <v>#DIV/0!</v>
      </c>
    </row>
    <row r="37" spans="1:12" ht="15.75">
      <c r="A37" s="52" t="s">
        <v>518</v>
      </c>
      <c r="B37" s="47">
        <f>C35</f>
        <v>0</v>
      </c>
      <c r="C37" s="47" t="e">
        <f>D35</f>
        <v>#DIV/0!</v>
      </c>
      <c r="D37" s="47" t="e">
        <f t="shared" ref="D37:I37" si="12">E35</f>
        <v>#DIV/0!</v>
      </c>
      <c r="E37" s="47" t="e">
        <f t="shared" si="12"/>
        <v>#DIV/0!</v>
      </c>
      <c r="F37" s="47" t="e">
        <f t="shared" si="12"/>
        <v>#DIV/0!</v>
      </c>
      <c r="G37" s="47" t="e">
        <f t="shared" si="12"/>
        <v>#DIV/0!</v>
      </c>
      <c r="H37" s="47" t="e">
        <f t="shared" si="12"/>
        <v>#DIV/0!</v>
      </c>
      <c r="I37" s="136" t="str">
        <f t="shared" si="12"/>
        <v>-</v>
      </c>
      <c r="J37" s="47" t="s">
        <v>132</v>
      </c>
      <c r="K37" s="47" t="s">
        <v>132</v>
      </c>
      <c r="L37" s="49" t="e">
        <f>SUM(Table35[[#This Row],[Column2]:[Column11]])</f>
        <v>#DIV/0!</v>
      </c>
    </row>
    <row r="38" spans="1:12" ht="15.75">
      <c r="A38" s="52" t="s">
        <v>327</v>
      </c>
      <c r="B38" s="47">
        <f>B37*$B$4</f>
        <v>0</v>
      </c>
      <c r="C38" s="47">
        <f>B37*$B$4</f>
        <v>0</v>
      </c>
      <c r="D38" s="47" t="e">
        <f t="shared" ref="D38:I38" si="13">C37*$B$4</f>
        <v>#DIV/0!</v>
      </c>
      <c r="E38" s="47" t="e">
        <f t="shared" si="13"/>
        <v>#DIV/0!</v>
      </c>
      <c r="F38" s="47" t="e">
        <f t="shared" si="13"/>
        <v>#DIV/0!</v>
      </c>
      <c r="G38" s="47" t="e">
        <f t="shared" si="13"/>
        <v>#DIV/0!</v>
      </c>
      <c r="H38" s="47" t="e">
        <f t="shared" si="13"/>
        <v>#DIV/0!</v>
      </c>
      <c r="I38" s="47" t="e">
        <f t="shared" si="13"/>
        <v>#DIV/0!</v>
      </c>
      <c r="J38" s="47" t="s">
        <v>132</v>
      </c>
      <c r="K38" s="47" t="s">
        <v>132</v>
      </c>
      <c r="L38" s="49" t="e">
        <f>SUM(Table35[[#This Row],[Column2]:[Column11]])</f>
        <v>#DIV/0!</v>
      </c>
    </row>
    <row r="39" spans="1:12" ht="15.75">
      <c r="A39" s="52" t="s">
        <v>328</v>
      </c>
      <c r="B39" s="52" t="s">
        <v>132</v>
      </c>
      <c r="C39" s="47" t="e">
        <f>-(C36/4*$B$4*0.75+C36/4*$B$4*0.5+C36/4*$B$4*0.25)</f>
        <v>#DIV/0!</v>
      </c>
      <c r="D39" s="47" t="e">
        <f t="shared" ref="D39:I39" si="14">-(D36/4*$B$4*0.75+D36/4*$B$4*0.5+D36/4*$B$4*0.25)</f>
        <v>#DIV/0!</v>
      </c>
      <c r="E39" s="47" t="e">
        <f t="shared" si="14"/>
        <v>#DIV/0!</v>
      </c>
      <c r="F39" s="47" t="e">
        <f t="shared" si="14"/>
        <v>#DIV/0!</v>
      </c>
      <c r="G39" s="47" t="e">
        <f t="shared" si="14"/>
        <v>#DIV/0!</v>
      </c>
      <c r="H39" s="47" t="e">
        <f t="shared" si="14"/>
        <v>#DIV/0!</v>
      </c>
      <c r="I39" s="47" t="e">
        <f t="shared" si="14"/>
        <v>#DIV/0!</v>
      </c>
      <c r="J39" s="47" t="s">
        <v>132</v>
      </c>
      <c r="K39" s="47" t="s">
        <v>132</v>
      </c>
      <c r="L39" s="49" t="e">
        <f>SUM(Table35[[#This Row],[Column2]:[Column11]])</f>
        <v>#DIV/0!</v>
      </c>
    </row>
    <row r="40" spans="1:12" s="58" customFormat="1" ht="15.75">
      <c r="A40" s="58" t="s">
        <v>329</v>
      </c>
      <c r="B40" s="49">
        <f>SUBTOTAL(109,B38:B39)</f>
        <v>0</v>
      </c>
      <c r="C40" s="49" t="e">
        <f t="shared" ref="C40:K40" si="15">SUBTOTAL(109,C38:C39)</f>
        <v>#DIV/0!</v>
      </c>
      <c r="D40" s="49" t="e">
        <f t="shared" si="15"/>
        <v>#DIV/0!</v>
      </c>
      <c r="E40" s="49" t="e">
        <f t="shared" si="15"/>
        <v>#DIV/0!</v>
      </c>
      <c r="F40" s="49" t="e">
        <f t="shared" si="15"/>
        <v>#DIV/0!</v>
      </c>
      <c r="G40" s="49" t="e">
        <f t="shared" si="15"/>
        <v>#DIV/0!</v>
      </c>
      <c r="H40" s="49" t="e">
        <f t="shared" si="15"/>
        <v>#DIV/0!</v>
      </c>
      <c r="I40" s="49" t="e">
        <f t="shared" si="15"/>
        <v>#DIV/0!</v>
      </c>
      <c r="J40" s="49">
        <f t="shared" si="15"/>
        <v>0</v>
      </c>
      <c r="K40" s="49">
        <f t="shared" si="15"/>
        <v>0</v>
      </c>
      <c r="L40" s="49" t="e">
        <f>SUM(Table35[[#This Row],[Column2]:[Column11]])</f>
        <v>#DIV/0!</v>
      </c>
    </row>
  </sheetData>
  <sheetProtection password="DA39" sheet="1" objects="1" scenarios="1" selectLockedCells="1"/>
  <mergeCells count="1">
    <mergeCell ref="A1:N1"/>
  </mergeCells>
  <printOptions horizontalCentered="1"/>
  <pageMargins left="0.25" right="0.25" top="0.75" bottom="0.75" header="0.3" footer="0.3"/>
  <pageSetup scale="73" orientation="landscape" r:id="rId1"/>
  <headerFooter>
    <oddFooter>&amp;L&amp;F&amp;R&amp;A</oddFooter>
  </headerFooter>
  <tableParts count="2">
    <tablePart r:id="rId2"/>
    <tablePart r:id="rId3"/>
  </tableParts>
</worksheet>
</file>

<file path=xl/worksheets/sheet25.xml><?xml version="1.0" encoding="utf-8"?>
<worksheet xmlns="http://schemas.openxmlformats.org/spreadsheetml/2006/main" xmlns:r="http://schemas.openxmlformats.org/officeDocument/2006/relationships">
  <sheetPr>
    <pageSetUpPr fitToPage="1"/>
  </sheetPr>
  <dimension ref="A1:L25"/>
  <sheetViews>
    <sheetView showGridLines="0" workbookViewId="0">
      <selection activeCell="G2" sqref="G2"/>
    </sheetView>
  </sheetViews>
  <sheetFormatPr defaultRowHeight="15"/>
  <cols>
    <col min="1" max="1" width="38.5703125" style="52" customWidth="1"/>
    <col min="2" max="12" width="12.28515625" style="47" customWidth="1"/>
    <col min="13" max="16384" width="9.140625" style="52"/>
  </cols>
  <sheetData>
    <row r="1" spans="1:12" ht="15.75" thickBot="1">
      <c r="A1" s="843" t="s">
        <v>330</v>
      </c>
      <c r="B1" s="844"/>
      <c r="C1" s="844"/>
      <c r="D1" s="844"/>
      <c r="E1" s="844"/>
      <c r="F1" s="844"/>
      <c r="G1" s="844"/>
      <c r="H1" s="844"/>
      <c r="I1" s="844"/>
      <c r="J1" s="844"/>
      <c r="K1" s="844"/>
      <c r="L1" s="845"/>
    </row>
    <row r="2" spans="1:12" ht="15.75" thickBot="1">
      <c r="L2" s="136" t="s">
        <v>681</v>
      </c>
    </row>
    <row r="3" spans="1:12" ht="15.75">
      <c r="A3" s="137" t="s">
        <v>623</v>
      </c>
      <c r="B3" s="138" t="s">
        <v>331</v>
      </c>
      <c r="C3" s="879">
        <f>'1'!B21</f>
        <v>0</v>
      </c>
      <c r="D3" s="879">
        <f>C3+1</f>
        <v>1</v>
      </c>
      <c r="E3" s="879">
        <f>D3+1</f>
        <v>2</v>
      </c>
      <c r="F3" s="879">
        <f t="shared" ref="F3:L3" si="0">E3+1</f>
        <v>3</v>
      </c>
      <c r="G3" s="879">
        <f t="shared" si="0"/>
        <v>4</v>
      </c>
      <c r="H3" s="879">
        <f t="shared" si="0"/>
        <v>5</v>
      </c>
      <c r="I3" s="879">
        <f t="shared" si="0"/>
        <v>6</v>
      </c>
      <c r="J3" s="879">
        <f t="shared" si="0"/>
        <v>7</v>
      </c>
      <c r="K3" s="879">
        <f t="shared" si="0"/>
        <v>8</v>
      </c>
      <c r="L3" s="880">
        <f t="shared" si="0"/>
        <v>9</v>
      </c>
    </row>
    <row r="4" spans="1:12" ht="16.5" thickBot="1">
      <c r="A4" s="139"/>
      <c r="B4" s="140" t="s">
        <v>332</v>
      </c>
      <c r="C4" s="140"/>
      <c r="D4" s="140"/>
      <c r="E4" s="140"/>
      <c r="F4" s="140"/>
      <c r="G4" s="140"/>
      <c r="H4" s="140"/>
      <c r="I4" s="140"/>
      <c r="J4" s="140"/>
      <c r="K4" s="140"/>
      <c r="L4" s="141"/>
    </row>
    <row r="5" spans="1:12" ht="15.75">
      <c r="A5" s="58" t="s">
        <v>335</v>
      </c>
      <c r="B5" s="49"/>
      <c r="C5" s="49"/>
      <c r="D5" s="49"/>
      <c r="E5" s="49"/>
      <c r="F5" s="49"/>
      <c r="G5" s="49"/>
      <c r="H5" s="49"/>
      <c r="I5" s="49"/>
      <c r="J5" s="49"/>
      <c r="K5" s="49"/>
      <c r="L5" s="49"/>
    </row>
    <row r="6" spans="1:12" ht="15.75">
      <c r="A6" s="58" t="s">
        <v>333</v>
      </c>
    </row>
    <row r="7" spans="1:12">
      <c r="A7" s="52" t="s">
        <v>334</v>
      </c>
      <c r="B7" s="47">
        <f>'6'!E51</f>
        <v>0</v>
      </c>
      <c r="C7" s="47">
        <f>Table39[[#This Row],[Column2]]</f>
        <v>0</v>
      </c>
      <c r="D7" s="47">
        <f>Table39[[#This Row],[Column3]]</f>
        <v>0</v>
      </c>
      <c r="E7" s="47">
        <f>Table39[[#This Row],[Column4]]</f>
        <v>0</v>
      </c>
      <c r="F7" s="47">
        <f>Table39[[#This Row],[Column5]]</f>
        <v>0</v>
      </c>
      <c r="G7" s="47">
        <f>Table39[[#This Row],[Column6]]</f>
        <v>0</v>
      </c>
      <c r="H7" s="47">
        <f>Table39[[#This Row],[Column7]]</f>
        <v>0</v>
      </c>
      <c r="I7" s="47">
        <f>Table39[[#This Row],[Column8]]</f>
        <v>0</v>
      </c>
      <c r="J7" s="47">
        <f>Table39[[#This Row],[Column9]]</f>
        <v>0</v>
      </c>
      <c r="K7" s="47">
        <f>Table39[[#This Row],[Column10]]</f>
        <v>0</v>
      </c>
      <c r="L7" s="47">
        <f>Table39[[#This Row],[Column11]]</f>
        <v>0</v>
      </c>
    </row>
    <row r="8" spans="1:12">
      <c r="A8" s="52" t="s">
        <v>336</v>
      </c>
      <c r="B8" s="47">
        <f>B12-B10-B7</f>
        <v>1</v>
      </c>
      <c r="C8" s="47" t="e">
        <f t="shared" ref="C8:L8" si="1">C12-C10-C7</f>
        <v>#DIV/0!</v>
      </c>
      <c r="D8" s="47" t="e">
        <f t="shared" si="1"/>
        <v>#DIV/0!</v>
      </c>
      <c r="E8" s="47" t="e">
        <f t="shared" si="1"/>
        <v>#DIV/0!</v>
      </c>
      <c r="F8" s="47" t="e">
        <f t="shared" si="1"/>
        <v>#DIV/0!</v>
      </c>
      <c r="G8" s="47" t="e">
        <f t="shared" si="1"/>
        <v>#DIV/0!</v>
      </c>
      <c r="H8" s="47" t="e">
        <f t="shared" si="1"/>
        <v>#DIV/0!</v>
      </c>
      <c r="I8" s="47" t="e">
        <f t="shared" si="1"/>
        <v>#DIV/0!</v>
      </c>
      <c r="J8" s="47" t="e">
        <f t="shared" si="1"/>
        <v>#DIV/0!</v>
      </c>
      <c r="K8" s="47" t="e">
        <f t="shared" si="1"/>
        <v>#DIV/0!</v>
      </c>
      <c r="L8" s="47" t="e">
        <f t="shared" si="1"/>
        <v>#DIV/0!</v>
      </c>
    </row>
    <row r="9" spans="1:12">
      <c r="A9" s="52" t="s">
        <v>337</v>
      </c>
    </row>
    <row r="10" spans="1:12">
      <c r="A10" s="52" t="s">
        <v>338</v>
      </c>
      <c r="B10" s="47">
        <f>'6'!E50</f>
        <v>0</v>
      </c>
      <c r="C10" s="47">
        <f>Table39[[#This Row],[Column2]]</f>
        <v>0</v>
      </c>
      <c r="D10" s="47" t="e">
        <f>Table39[[#This Row],[Column3]]-'18'!C36</f>
        <v>#DIV/0!</v>
      </c>
      <c r="E10" s="47" t="e">
        <f>Table39[[#This Row],[Column4]]-'18'!D36</f>
        <v>#DIV/0!</v>
      </c>
      <c r="F10" s="47" t="e">
        <f>Table39[[#This Row],[Column5]]-'18'!E36</f>
        <v>#DIV/0!</v>
      </c>
      <c r="G10" s="47" t="e">
        <f>Table39[[#This Row],[Column6]]-'18'!F36</f>
        <v>#DIV/0!</v>
      </c>
      <c r="H10" s="47" t="e">
        <f>Table39[[#This Row],[Column7]]-'18'!G36</f>
        <v>#DIV/0!</v>
      </c>
      <c r="I10" s="47" t="e">
        <f>Table39[[#This Row],[Column8]]-'18'!H36</f>
        <v>#DIV/0!</v>
      </c>
      <c r="J10" s="47" t="e">
        <f>Table39[[#This Row],[Column9]]-'18'!I36</f>
        <v>#DIV/0!</v>
      </c>
      <c r="K10" s="47">
        <v>0</v>
      </c>
      <c r="L10" s="47">
        <v>0</v>
      </c>
    </row>
    <row r="11" spans="1:12" s="58" customFormat="1" ht="15.75">
      <c r="A11" s="52"/>
      <c r="B11" s="47"/>
      <c r="C11" s="47"/>
      <c r="D11" s="47"/>
      <c r="E11" s="47"/>
      <c r="F11" s="47"/>
      <c r="G11" s="47"/>
      <c r="H11" s="47"/>
      <c r="I11" s="47"/>
      <c r="J11" s="47"/>
      <c r="K11" s="47"/>
      <c r="L11" s="47"/>
    </row>
    <row r="12" spans="1:12" s="58" customFormat="1" ht="16.5" thickBot="1">
      <c r="A12" s="173" t="s">
        <v>42</v>
      </c>
      <c r="B12" s="174">
        <f>B23</f>
        <v>1</v>
      </c>
      <c r="C12" s="174" t="e">
        <f t="shared" ref="C12:L12" si="2">C23</f>
        <v>#DIV/0!</v>
      </c>
      <c r="D12" s="174" t="e">
        <f t="shared" si="2"/>
        <v>#DIV/0!</v>
      </c>
      <c r="E12" s="174" t="e">
        <f t="shared" si="2"/>
        <v>#DIV/0!</v>
      </c>
      <c r="F12" s="174" t="e">
        <f t="shared" si="2"/>
        <v>#DIV/0!</v>
      </c>
      <c r="G12" s="174" t="e">
        <f t="shared" si="2"/>
        <v>#DIV/0!</v>
      </c>
      <c r="H12" s="174" t="e">
        <f t="shared" si="2"/>
        <v>#DIV/0!</v>
      </c>
      <c r="I12" s="174" t="e">
        <f t="shared" si="2"/>
        <v>#DIV/0!</v>
      </c>
      <c r="J12" s="174" t="e">
        <f t="shared" si="2"/>
        <v>#DIV/0!</v>
      </c>
      <c r="K12" s="174" t="e">
        <f t="shared" si="2"/>
        <v>#DIV/0!</v>
      </c>
      <c r="L12" s="174" t="e">
        <f t="shared" si="2"/>
        <v>#DIV/0!</v>
      </c>
    </row>
    <row r="13" spans="1:12" s="58" customFormat="1" ht="16.5" thickTop="1">
      <c r="B13" s="49"/>
      <c r="C13" s="49"/>
      <c r="D13" s="49"/>
      <c r="E13" s="49"/>
      <c r="F13" s="49"/>
      <c r="G13" s="49"/>
      <c r="H13" s="49"/>
      <c r="I13" s="49"/>
      <c r="J13" s="49"/>
      <c r="K13" s="49"/>
      <c r="L13" s="49"/>
    </row>
    <row r="14" spans="1:12" ht="15.75">
      <c r="A14" s="58" t="s">
        <v>343</v>
      </c>
      <c r="B14" s="49"/>
      <c r="C14" s="49"/>
      <c r="D14" s="49"/>
      <c r="E14" s="49"/>
      <c r="F14" s="49"/>
      <c r="G14" s="49"/>
      <c r="H14" s="49"/>
      <c r="I14" s="49"/>
      <c r="J14" s="49"/>
      <c r="K14" s="49"/>
      <c r="L14" s="49"/>
    </row>
    <row r="15" spans="1:12" ht="15.75">
      <c r="A15" s="58" t="s">
        <v>339</v>
      </c>
    </row>
    <row r="16" spans="1:12">
      <c r="A16" s="52" t="s">
        <v>340</v>
      </c>
      <c r="B16" s="47">
        <f>'6'!E32+'6'!E43+1</f>
        <v>1</v>
      </c>
      <c r="C16" s="47">
        <f>Table39[[#This Row],[Column2]]</f>
        <v>1</v>
      </c>
      <c r="D16" s="47">
        <f>Table39[[#This Row],[Column3]]</f>
        <v>1</v>
      </c>
      <c r="E16" s="47">
        <f>Table39[[#This Row],[Column4]]</f>
        <v>1</v>
      </c>
      <c r="F16" s="47">
        <f>Table39[[#This Row],[Column5]]</f>
        <v>1</v>
      </c>
      <c r="G16" s="47">
        <f>Table39[[#This Row],[Column6]]</f>
        <v>1</v>
      </c>
      <c r="H16" s="47">
        <f>Table39[[#This Row],[Column7]]</f>
        <v>1</v>
      </c>
      <c r="I16" s="47">
        <f>Table39[[#This Row],[Column8]]</f>
        <v>1</v>
      </c>
      <c r="J16" s="47">
        <f>Table39[[#This Row],[Column9]]</f>
        <v>1</v>
      </c>
      <c r="K16" s="47">
        <f>Table39[[#This Row],[Column10]]</f>
        <v>1</v>
      </c>
      <c r="L16" s="47">
        <f>Table39[[#This Row],[Column11]]</f>
        <v>1</v>
      </c>
    </row>
    <row r="17" spans="1:12" ht="15.75">
      <c r="A17" s="58" t="s">
        <v>341</v>
      </c>
      <c r="B17" s="47">
        <f>'6'!C34</f>
        <v>0</v>
      </c>
      <c r="C17" s="47">
        <f>Table39[[#This Row],[Column2]]</f>
        <v>0</v>
      </c>
      <c r="D17" s="47">
        <f>Table39[[#This Row],[Column3]]</f>
        <v>0</v>
      </c>
      <c r="E17" s="47">
        <f>Table39[[#This Row],[Column4]]</f>
        <v>0</v>
      </c>
      <c r="F17" s="47">
        <f>Table39[[#This Row],[Column5]]</f>
        <v>0</v>
      </c>
      <c r="G17" s="47">
        <f>Table39[[#This Row],[Column6]]</f>
        <v>0</v>
      </c>
      <c r="H17" s="47">
        <f>Table39[[#This Row],[Column7]]</f>
        <v>0</v>
      </c>
      <c r="I17" s="47">
        <f>Table39[[#This Row],[Column8]]</f>
        <v>0</v>
      </c>
      <c r="J17" s="47">
        <f>Table39[[#This Row],[Column9]]</f>
        <v>0</v>
      </c>
      <c r="K17" s="47">
        <f>Table39[[#This Row],[Column10]]</f>
        <v>0</v>
      </c>
      <c r="L17" s="47">
        <f>Table39[[#This Row],[Column11]]</f>
        <v>0</v>
      </c>
    </row>
    <row r="18" spans="1:12" s="543" customFormat="1" ht="15.75">
      <c r="A18" s="542" t="s">
        <v>342</v>
      </c>
      <c r="B18" s="881">
        <v>0</v>
      </c>
      <c r="C18" s="881">
        <f>Deprn!E12</f>
        <v>0</v>
      </c>
      <c r="D18" s="881">
        <f>Table39[[#This Row],[Column3]]+Deprn!G12</f>
        <v>0</v>
      </c>
      <c r="E18" s="881">
        <f>Table39[[#This Row],[Column4]]+Deprn!I12</f>
        <v>0</v>
      </c>
      <c r="F18" s="881">
        <f>Table39[[#This Row],[Column5]]+Deprn!K12</f>
        <v>0</v>
      </c>
      <c r="G18" s="881">
        <f>Table39[[#This Row],[Column6]]+Deprn!M12</f>
        <v>0</v>
      </c>
      <c r="H18" s="881">
        <f>Table39[[#This Row],[Column7]]+Deprn!O12</f>
        <v>0</v>
      </c>
      <c r="I18" s="881">
        <f>Table39[[#This Row],[Column8]]+Deprn!Q12</f>
        <v>0</v>
      </c>
      <c r="J18" s="881">
        <f>Table39[[#This Row],[Column9]]+Deprn!S12</f>
        <v>0</v>
      </c>
      <c r="K18" s="881">
        <f>Table39[[#This Row],[Column10]]+Deprn!U12</f>
        <v>0</v>
      </c>
      <c r="L18" s="881">
        <f>Table39[[#This Row],[Column11]]+Deprn!W12</f>
        <v>0</v>
      </c>
    </row>
    <row r="19" spans="1:12" s="58" customFormat="1" ht="15.75">
      <c r="A19" s="58" t="s">
        <v>344</v>
      </c>
      <c r="B19" s="49">
        <f>B16+B17-B18</f>
        <v>1</v>
      </c>
      <c r="C19" s="49">
        <f t="shared" ref="C19:L19" si="3">C16+C17-C18</f>
        <v>1</v>
      </c>
      <c r="D19" s="49">
        <f t="shared" si="3"/>
        <v>1</v>
      </c>
      <c r="E19" s="49">
        <f t="shared" si="3"/>
        <v>1</v>
      </c>
      <c r="F19" s="49">
        <f t="shared" si="3"/>
        <v>1</v>
      </c>
      <c r="G19" s="49">
        <f t="shared" si="3"/>
        <v>1</v>
      </c>
      <c r="H19" s="49">
        <f t="shared" si="3"/>
        <v>1</v>
      </c>
      <c r="I19" s="49">
        <f t="shared" si="3"/>
        <v>1</v>
      </c>
      <c r="J19" s="49">
        <f t="shared" si="3"/>
        <v>1</v>
      </c>
      <c r="K19" s="49">
        <f t="shared" si="3"/>
        <v>1</v>
      </c>
      <c r="L19" s="49">
        <f t="shared" si="3"/>
        <v>1</v>
      </c>
    </row>
    <row r="20" spans="1:12" ht="15.75">
      <c r="A20" s="58" t="s">
        <v>345</v>
      </c>
      <c r="B20" s="49"/>
      <c r="C20" s="49"/>
      <c r="D20" s="49"/>
      <c r="E20" s="49"/>
      <c r="F20" s="49"/>
      <c r="G20" s="49"/>
      <c r="H20" s="49"/>
      <c r="I20" s="49"/>
      <c r="J20" s="49"/>
      <c r="K20" s="49"/>
      <c r="L20" s="49"/>
    </row>
    <row r="21" spans="1:12">
      <c r="A21" s="52" t="s">
        <v>346</v>
      </c>
      <c r="B21" s="47">
        <v>0</v>
      </c>
      <c r="C21" s="47" t="e">
        <f>'18'!E22</f>
        <v>#DIV/0!</v>
      </c>
      <c r="D21" s="47" t="e">
        <f>'18'!F22</f>
        <v>#DIV/0!</v>
      </c>
      <c r="E21" s="47" t="e">
        <f>'18'!G22</f>
        <v>#DIV/0!</v>
      </c>
      <c r="F21" s="47" t="e">
        <f>'18'!H22</f>
        <v>#DIV/0!</v>
      </c>
      <c r="G21" s="47" t="e">
        <f>'18'!I22</f>
        <v>#DIV/0!</v>
      </c>
      <c r="H21" s="47" t="e">
        <f>'18'!J22</f>
        <v>#DIV/0!</v>
      </c>
      <c r="I21" s="47" t="e">
        <f>'18'!K22</f>
        <v>#DIV/0!</v>
      </c>
      <c r="J21" s="47" t="e">
        <f>'18'!L22</f>
        <v>#DIV/0!</v>
      </c>
      <c r="K21" s="47" t="e">
        <f>'18'!M22</f>
        <v>#DIV/0!</v>
      </c>
      <c r="L21" s="47" t="e">
        <f>'18'!N22</f>
        <v>#DIV/0!</v>
      </c>
    </row>
    <row r="22" spans="1:12" s="58" customFormat="1" ht="15.75">
      <c r="A22" s="52"/>
      <c r="B22" s="47"/>
      <c r="C22" s="47"/>
      <c r="D22" s="47"/>
      <c r="E22" s="47"/>
      <c r="F22" s="47"/>
      <c r="G22" s="47"/>
      <c r="H22" s="47"/>
      <c r="I22" s="47"/>
      <c r="J22" s="47"/>
      <c r="K22" s="47"/>
      <c r="L22" s="47"/>
    </row>
    <row r="23" spans="1:12" ht="16.5" thickBot="1">
      <c r="A23" s="173" t="s">
        <v>42</v>
      </c>
      <c r="B23" s="174">
        <f>SUBTOTAL(109,B19:B22)</f>
        <v>1</v>
      </c>
      <c r="C23" s="174" t="e">
        <f t="shared" ref="C23:L23" si="4">SUBTOTAL(109,C19:C22)</f>
        <v>#DIV/0!</v>
      </c>
      <c r="D23" s="174" t="e">
        <f t="shared" si="4"/>
        <v>#DIV/0!</v>
      </c>
      <c r="E23" s="174" t="e">
        <f t="shared" si="4"/>
        <v>#DIV/0!</v>
      </c>
      <c r="F23" s="174" t="e">
        <f t="shared" si="4"/>
        <v>#DIV/0!</v>
      </c>
      <c r="G23" s="174" t="e">
        <f t="shared" si="4"/>
        <v>#DIV/0!</v>
      </c>
      <c r="H23" s="174" t="e">
        <f t="shared" si="4"/>
        <v>#DIV/0!</v>
      </c>
      <c r="I23" s="174" t="e">
        <f t="shared" si="4"/>
        <v>#DIV/0!</v>
      </c>
      <c r="J23" s="174" t="e">
        <f t="shared" si="4"/>
        <v>#DIV/0!</v>
      </c>
      <c r="K23" s="174" t="e">
        <f t="shared" si="4"/>
        <v>#DIV/0!</v>
      </c>
      <c r="L23" s="174" t="e">
        <f t="shared" si="4"/>
        <v>#DIV/0!</v>
      </c>
    </row>
    <row r="24" spans="1:12" ht="15.75" thickTop="1"/>
    <row r="25" spans="1:12">
      <c r="C25" s="142"/>
    </row>
  </sheetData>
  <sheetProtection password="DA39" sheet="1" objects="1" scenarios="1" selectLockedCells="1"/>
  <mergeCells count="1">
    <mergeCell ref="A1:L1"/>
  </mergeCells>
  <printOptions horizontalCentered="1"/>
  <pageMargins left="0.25" right="0.25" top="0.75" bottom="0.75" header="0.3" footer="0.3"/>
  <pageSetup scale="78" orientation="landscape" r:id="rId1"/>
  <headerFooter>
    <oddFooter>&amp;L&amp;F&amp;R&amp;A</oddFooter>
  </headerFooter>
  <tableParts count="1">
    <tablePart r:id="rId2"/>
  </tableParts>
</worksheet>
</file>

<file path=xl/worksheets/sheet26.xml><?xml version="1.0" encoding="utf-8"?>
<worksheet xmlns="http://schemas.openxmlformats.org/spreadsheetml/2006/main" xmlns:r="http://schemas.openxmlformats.org/officeDocument/2006/relationships">
  <sheetPr>
    <pageSetUpPr fitToPage="1"/>
  </sheetPr>
  <dimension ref="A1:X36"/>
  <sheetViews>
    <sheetView showGridLines="0" workbookViewId="0">
      <selection activeCell="Y5" sqref="Y5"/>
    </sheetView>
  </sheetViews>
  <sheetFormatPr defaultRowHeight="15"/>
  <cols>
    <col min="1" max="1" width="43.140625" style="64" customWidth="1"/>
    <col min="2" max="2" width="9.140625" style="52" bestFit="1" customWidth="1"/>
    <col min="3" max="3" width="10.85546875" style="52" bestFit="1" customWidth="1"/>
    <col min="4" max="4" width="10.28515625" style="52" bestFit="1" customWidth="1"/>
    <col min="5" max="5" width="14" style="52" customWidth="1"/>
    <col min="6" max="6" width="14.28515625" style="52" bestFit="1" customWidth="1"/>
    <col min="7" max="11" width="10.5703125" style="52" bestFit="1" customWidth="1"/>
    <col min="12" max="12" width="11.5703125" style="62" hidden="1" customWidth="1"/>
    <col min="13" max="13" width="10.28515625" style="62" hidden="1" customWidth="1"/>
    <col min="14" max="14" width="9.140625" style="63" hidden="1" customWidth="1"/>
    <col min="15" max="24" width="11" style="63" hidden="1" customWidth="1"/>
    <col min="25" max="16384" width="9.140625" style="52"/>
  </cols>
  <sheetData>
    <row r="1" spans="1:24" ht="16.5" thickBot="1">
      <c r="A1" s="840" t="s">
        <v>347</v>
      </c>
      <c r="B1" s="841"/>
      <c r="C1" s="841"/>
      <c r="D1" s="841"/>
      <c r="E1" s="841"/>
      <c r="F1" s="841"/>
      <c r="G1" s="841"/>
      <c r="H1" s="841"/>
      <c r="I1" s="841"/>
      <c r="J1" s="841"/>
      <c r="K1" s="842"/>
    </row>
    <row r="2" spans="1:24" ht="15.75" thickBot="1">
      <c r="N2" s="65"/>
      <c r="O2" s="65"/>
      <c r="P2" s="65"/>
      <c r="Q2" s="65"/>
      <c r="R2" s="65"/>
      <c r="S2" s="65"/>
      <c r="T2" s="65"/>
      <c r="U2" s="65"/>
      <c r="V2" s="65"/>
      <c r="W2" s="65"/>
      <c r="X2" s="65"/>
    </row>
    <row r="3" spans="1:24" ht="15.75">
      <c r="A3" s="66" t="s">
        <v>348</v>
      </c>
      <c r="B3" s="67" t="s">
        <v>422</v>
      </c>
      <c r="C3" s="67" t="s">
        <v>65</v>
      </c>
      <c r="D3" s="67" t="s">
        <v>423</v>
      </c>
      <c r="E3" s="67" t="s">
        <v>254</v>
      </c>
      <c r="F3" s="67" t="s">
        <v>424</v>
      </c>
      <c r="G3" s="882">
        <f>'1'!B21</f>
        <v>0</v>
      </c>
      <c r="H3" s="882">
        <f>G3+1</f>
        <v>1</v>
      </c>
      <c r="I3" s="882">
        <f t="shared" ref="I3:K3" si="0">H3+1</f>
        <v>2</v>
      </c>
      <c r="J3" s="882">
        <f t="shared" si="0"/>
        <v>3</v>
      </c>
      <c r="K3" s="882">
        <f t="shared" si="0"/>
        <v>4</v>
      </c>
      <c r="L3" s="68" t="s">
        <v>27</v>
      </c>
      <c r="M3" s="69" t="s">
        <v>445</v>
      </c>
      <c r="N3" s="70"/>
      <c r="O3" s="71" t="s">
        <v>217</v>
      </c>
      <c r="P3" s="72" t="s">
        <v>218</v>
      </c>
      <c r="Q3" s="72" t="s">
        <v>219</v>
      </c>
      <c r="R3" s="72" t="s">
        <v>220</v>
      </c>
      <c r="S3" s="72" t="s">
        <v>221</v>
      </c>
      <c r="T3" s="72" t="s">
        <v>222</v>
      </c>
      <c r="U3" s="72" t="s">
        <v>223</v>
      </c>
      <c r="V3" s="72" t="s">
        <v>224</v>
      </c>
      <c r="W3" s="72" t="s">
        <v>225</v>
      </c>
      <c r="X3" s="70" t="s">
        <v>226</v>
      </c>
    </row>
    <row r="4" spans="1:24" ht="15.75">
      <c r="A4" s="73"/>
      <c r="B4" s="74"/>
      <c r="C4" s="74"/>
      <c r="D4" s="74" t="s">
        <v>425</v>
      </c>
      <c r="E4" s="74" t="s">
        <v>426</v>
      </c>
      <c r="F4" s="74" t="s">
        <v>286</v>
      </c>
      <c r="G4" s="75" t="e">
        <f>'17'!B6</f>
        <v>#DIV/0!</v>
      </c>
      <c r="H4" s="75" t="e">
        <f>'17'!C6</f>
        <v>#DIV/0!</v>
      </c>
      <c r="I4" s="75" t="e">
        <f>'17'!D6</f>
        <v>#DIV/0!</v>
      </c>
      <c r="J4" s="75" t="e">
        <f>'17'!E6</f>
        <v>#DIV/0!</v>
      </c>
      <c r="K4" s="76">
        <f>'17'!F6</f>
        <v>0</v>
      </c>
      <c r="L4" s="77"/>
      <c r="M4" s="78" t="s">
        <v>27</v>
      </c>
      <c r="N4" s="79" t="s">
        <v>282</v>
      </c>
      <c r="O4" s="80">
        <v>0.55850104094378905</v>
      </c>
      <c r="P4" s="81">
        <v>0.47779584462511288</v>
      </c>
      <c r="Q4" s="81">
        <v>0.59080745341614904</v>
      </c>
      <c r="R4" s="81">
        <v>0.67904170363797689</v>
      </c>
      <c r="S4" s="81">
        <v>0.72499999999999998</v>
      </c>
      <c r="T4" s="82">
        <f>S4</f>
        <v>0.72499999999999998</v>
      </c>
      <c r="U4" s="82">
        <f>T4</f>
        <v>0.72499999999999998</v>
      </c>
      <c r="V4" s="82">
        <f>U4</f>
        <v>0.72499999999999998</v>
      </c>
      <c r="W4" s="82">
        <f>V4</f>
        <v>0.72499999999999998</v>
      </c>
      <c r="X4" s="83">
        <f>W4</f>
        <v>0.72499999999999998</v>
      </c>
    </row>
    <row r="5" spans="1:24" ht="16.5" thickBot="1">
      <c r="A5" s="84" t="s">
        <v>349</v>
      </c>
      <c r="B5" s="85"/>
      <c r="C5" s="85"/>
      <c r="D5" s="85"/>
      <c r="E5" s="85"/>
      <c r="F5" s="85"/>
      <c r="G5" s="86">
        <f>M8</f>
        <v>1.1342249999999998</v>
      </c>
      <c r="H5" s="86">
        <f>M9</f>
        <v>1.2079496249999997</v>
      </c>
      <c r="I5" s="86">
        <f>M10</f>
        <v>1.2864663506249996</v>
      </c>
      <c r="J5" s="86">
        <f>M11</f>
        <v>1.3700866634156246</v>
      </c>
      <c r="K5" s="87">
        <f>M12</f>
        <v>1.4591422965376402</v>
      </c>
      <c r="L5" s="88">
        <v>1</v>
      </c>
      <c r="M5" s="89"/>
      <c r="N5" s="90">
        <v>2008</v>
      </c>
      <c r="O5" s="91">
        <v>1.2079496250000001</v>
      </c>
      <c r="P5" s="92">
        <v>1.286466350625</v>
      </c>
      <c r="Q5" s="92">
        <v>1.370086663415625</v>
      </c>
      <c r="R5" s="92">
        <v>1.4591422965376406</v>
      </c>
      <c r="S5" s="92">
        <v>1.5539865458125872</v>
      </c>
      <c r="T5" s="92">
        <f>S5*106.5%</f>
        <v>1.6549956712904053</v>
      </c>
      <c r="U5" s="92">
        <f>T5*106.5%</f>
        <v>1.7625703899242815</v>
      </c>
      <c r="V5" s="92">
        <f>U5*106.5%</f>
        <v>1.8771374652693598</v>
      </c>
      <c r="W5" s="92">
        <f>V5*106.5%</f>
        <v>1.999151400511868</v>
      </c>
      <c r="X5" s="93">
        <f>W5*106.5%</f>
        <v>2.1290962415451395</v>
      </c>
    </row>
    <row r="6" spans="1:24" ht="15.75">
      <c r="A6" s="94" t="s">
        <v>350</v>
      </c>
      <c r="L6" s="88">
        <f>L5*'1'!$B$12</f>
        <v>0</v>
      </c>
      <c r="M6" s="89">
        <f>L5+L6</f>
        <v>1</v>
      </c>
      <c r="N6" s="90">
        <v>2009</v>
      </c>
      <c r="O6" s="95"/>
      <c r="P6" s="96"/>
      <c r="Q6" s="96"/>
      <c r="R6" s="96"/>
      <c r="S6" s="96"/>
      <c r="T6" s="96"/>
      <c r="U6" s="96"/>
      <c r="V6" s="96"/>
      <c r="W6" s="96"/>
      <c r="X6" s="97"/>
    </row>
    <row r="7" spans="1:24">
      <c r="A7" s="64" t="s">
        <v>66</v>
      </c>
      <c r="C7" s="52">
        <f>'4'!B18</f>
        <v>0</v>
      </c>
      <c r="D7" s="52">
        <f>'Area&amp;Cost'!E9</f>
        <v>0</v>
      </c>
      <c r="E7" s="52">
        <f>'Area&amp;Cost'!F9</f>
        <v>0</v>
      </c>
      <c r="F7" s="56">
        <f>Table44[[#This Row],[Column3]]*Table44[[#This Row],[Column4]]*Table44[[#This Row],[Column5]]</f>
        <v>0</v>
      </c>
      <c r="L7" s="88">
        <f>M6*'1'!$B$12</f>
        <v>0</v>
      </c>
      <c r="M7" s="89">
        <f t="shared" ref="M7:M12" si="1">M6*106.5%</f>
        <v>1.0649999999999999</v>
      </c>
      <c r="N7" s="90">
        <v>2010</v>
      </c>
      <c r="O7" s="98">
        <f>60%*$F$12*O4*O5+40%*$F$12*O5</f>
        <v>0</v>
      </c>
      <c r="P7" s="99">
        <f>60%*$F$12*P4*P5+40%*$F$12*P5</f>
        <v>0</v>
      </c>
      <c r="Q7" s="99">
        <f t="shared" ref="Q7:X7" si="2">60%*$F$12*Q4*Q5+40%*$F$12*Q5</f>
        <v>0</v>
      </c>
      <c r="R7" s="99">
        <f t="shared" si="2"/>
        <v>0</v>
      </c>
      <c r="S7" s="99">
        <f t="shared" si="2"/>
        <v>0</v>
      </c>
      <c r="T7" s="99">
        <f t="shared" si="2"/>
        <v>0</v>
      </c>
      <c r="U7" s="99">
        <f t="shared" si="2"/>
        <v>0</v>
      </c>
      <c r="V7" s="99">
        <f t="shared" si="2"/>
        <v>0</v>
      </c>
      <c r="W7" s="99">
        <f t="shared" si="2"/>
        <v>0</v>
      </c>
      <c r="X7" s="100">
        <f t="shared" si="2"/>
        <v>0</v>
      </c>
    </row>
    <row r="8" spans="1:24">
      <c r="A8" s="64" t="s">
        <v>67</v>
      </c>
      <c r="C8" s="52">
        <f>'4'!B19</f>
        <v>0</v>
      </c>
      <c r="D8" s="52">
        <f>'Area&amp;Cost'!E10</f>
        <v>0</v>
      </c>
      <c r="E8" s="52">
        <f>'Area&amp;Cost'!F10</f>
        <v>0</v>
      </c>
      <c r="F8" s="56">
        <f>Table44[[#This Row],[Column3]]*Table44[[#This Row],[Column4]]*Table44[[#This Row],[Column5]]</f>
        <v>0</v>
      </c>
      <c r="L8" s="88">
        <f>M7*'1'!$B$12</f>
        <v>0</v>
      </c>
      <c r="M8" s="89">
        <f t="shared" si="1"/>
        <v>1.1342249999999998</v>
      </c>
      <c r="N8" s="90">
        <v>2011</v>
      </c>
      <c r="O8" s="98" t="e">
        <f>$F$17*O5*O4</f>
        <v>#DIV/0!</v>
      </c>
      <c r="P8" s="99" t="e">
        <f t="shared" ref="P8:X8" si="3">$F$17*P5*P4</f>
        <v>#DIV/0!</v>
      </c>
      <c r="Q8" s="99" t="e">
        <f t="shared" si="3"/>
        <v>#DIV/0!</v>
      </c>
      <c r="R8" s="99" t="e">
        <f t="shared" si="3"/>
        <v>#DIV/0!</v>
      </c>
      <c r="S8" s="99" t="e">
        <f t="shared" si="3"/>
        <v>#DIV/0!</v>
      </c>
      <c r="T8" s="99" t="e">
        <f t="shared" si="3"/>
        <v>#DIV/0!</v>
      </c>
      <c r="U8" s="99" t="e">
        <f t="shared" si="3"/>
        <v>#DIV/0!</v>
      </c>
      <c r="V8" s="99" t="e">
        <f t="shared" si="3"/>
        <v>#DIV/0!</v>
      </c>
      <c r="W8" s="99" t="e">
        <f t="shared" si="3"/>
        <v>#DIV/0!</v>
      </c>
      <c r="X8" s="100" t="e">
        <f t="shared" si="3"/>
        <v>#DIV/0!</v>
      </c>
    </row>
    <row r="9" spans="1:24">
      <c r="A9" s="64" t="s">
        <v>68</v>
      </c>
      <c r="C9" s="52">
        <f>'4'!B20</f>
        <v>0</v>
      </c>
      <c r="D9" s="52">
        <f>'Area&amp;Cost'!E11</f>
        <v>0</v>
      </c>
      <c r="E9" s="52">
        <f>'Area&amp;Cost'!F11</f>
        <v>0</v>
      </c>
      <c r="F9" s="56">
        <f>Table44[[#This Row],[Column3]]*Table44[[#This Row],[Column4]]*Table44[[#This Row],[Column5]]</f>
        <v>0</v>
      </c>
      <c r="L9" s="88">
        <f>M8*'1'!$B$12</f>
        <v>0</v>
      </c>
      <c r="M9" s="89">
        <f t="shared" si="1"/>
        <v>1.2079496249999997</v>
      </c>
      <c r="N9" s="90">
        <v>2012</v>
      </c>
      <c r="O9" s="98">
        <f>$F$25*O5</f>
        <v>0</v>
      </c>
      <c r="P9" s="99">
        <f t="shared" ref="P9:X9" si="4">$F$25*P5</f>
        <v>0</v>
      </c>
      <c r="Q9" s="99">
        <f t="shared" si="4"/>
        <v>0</v>
      </c>
      <c r="R9" s="99">
        <f t="shared" si="4"/>
        <v>0</v>
      </c>
      <c r="S9" s="99">
        <f t="shared" si="4"/>
        <v>0</v>
      </c>
      <c r="T9" s="99">
        <f t="shared" si="4"/>
        <v>0</v>
      </c>
      <c r="U9" s="99">
        <f t="shared" si="4"/>
        <v>0</v>
      </c>
      <c r="V9" s="99">
        <f t="shared" si="4"/>
        <v>0</v>
      </c>
      <c r="W9" s="99">
        <f t="shared" si="4"/>
        <v>0</v>
      </c>
      <c r="X9" s="100">
        <f t="shared" si="4"/>
        <v>0</v>
      </c>
    </row>
    <row r="10" spans="1:24">
      <c r="A10" s="64" t="s">
        <v>69</v>
      </c>
      <c r="C10" s="52">
        <f>'4'!B21</f>
        <v>0</v>
      </c>
      <c r="D10" s="52">
        <f>'Area&amp;Cost'!E12</f>
        <v>0</v>
      </c>
      <c r="E10" s="52">
        <f>'Area&amp;Cost'!F12</f>
        <v>0</v>
      </c>
      <c r="F10" s="56">
        <f>Table44[[#This Row],[Column3]]*Table44[[#This Row],[Column4]]*Table44[[#This Row],[Column5]]</f>
        <v>0</v>
      </c>
      <c r="L10" s="88">
        <f>M9*'1'!$B$12</f>
        <v>0</v>
      </c>
      <c r="M10" s="89">
        <f t="shared" si="1"/>
        <v>1.2864663506249996</v>
      </c>
      <c r="N10" s="90">
        <v>2013</v>
      </c>
      <c r="O10" s="101"/>
      <c r="P10" s="102"/>
      <c r="Q10" s="102"/>
      <c r="R10" s="102"/>
      <c r="S10" s="102"/>
      <c r="T10" s="102"/>
      <c r="U10" s="102"/>
      <c r="V10" s="102"/>
      <c r="W10" s="102"/>
      <c r="X10" s="90"/>
    </row>
    <row r="11" spans="1:24" s="58" customFormat="1" ht="15.75">
      <c r="A11" s="103" t="s">
        <v>351</v>
      </c>
      <c r="G11" s="104">
        <f>'Area&amp;Cost'!H6</f>
        <v>0</v>
      </c>
      <c r="H11" s="104">
        <f>Table44[[#This Row],[Column7]]</f>
        <v>0</v>
      </c>
      <c r="I11" s="104">
        <f>Table44[[#This Row],[Column8]]</f>
        <v>0</v>
      </c>
      <c r="J11" s="104">
        <f>Table44[[#This Row],[Column9]]</f>
        <v>0</v>
      </c>
      <c r="K11" s="104">
        <f>Table44[[#This Row],[Column10]]</f>
        <v>0</v>
      </c>
      <c r="L11" s="88">
        <f>M10*'1'!$B$12</f>
        <v>0</v>
      </c>
      <c r="M11" s="89">
        <f t="shared" si="1"/>
        <v>1.3700866634156246</v>
      </c>
      <c r="N11" s="90">
        <v>2014</v>
      </c>
      <c r="O11" s="105" t="e">
        <f>SUM(O7:O10)</f>
        <v>#DIV/0!</v>
      </c>
      <c r="P11" s="106" t="e">
        <f t="shared" ref="P11:X11" si="5">SUM(P7:P10)</f>
        <v>#DIV/0!</v>
      </c>
      <c r="Q11" s="106" t="e">
        <f t="shared" si="5"/>
        <v>#DIV/0!</v>
      </c>
      <c r="R11" s="106" t="e">
        <f t="shared" si="5"/>
        <v>#DIV/0!</v>
      </c>
      <c r="S11" s="106" t="e">
        <f t="shared" si="5"/>
        <v>#DIV/0!</v>
      </c>
      <c r="T11" s="106" t="e">
        <f t="shared" si="5"/>
        <v>#DIV/0!</v>
      </c>
      <c r="U11" s="106" t="e">
        <f t="shared" si="5"/>
        <v>#DIV/0!</v>
      </c>
      <c r="V11" s="106" t="e">
        <f t="shared" si="5"/>
        <v>#DIV/0!</v>
      </c>
      <c r="W11" s="106" t="e">
        <f t="shared" si="5"/>
        <v>#DIV/0!</v>
      </c>
      <c r="X11" s="107" t="e">
        <f t="shared" si="5"/>
        <v>#DIV/0!</v>
      </c>
    </row>
    <row r="12" spans="1:24" s="58" customFormat="1" ht="16.5" thickBot="1">
      <c r="A12" s="549" t="s">
        <v>42</v>
      </c>
      <c r="B12" s="550"/>
      <c r="C12" s="551">
        <f>SUBTOTAL(109,C6:C11)</f>
        <v>0</v>
      </c>
      <c r="D12" s="551">
        <f>SUBTOTAL(109,D6:D11)</f>
        <v>0</v>
      </c>
      <c r="E12" s="551">
        <f>SUBTOTAL(109,E6:E11)</f>
        <v>0</v>
      </c>
      <c r="F12" s="551">
        <f>SUBTOTAL(109,F6:F11)</f>
        <v>0</v>
      </c>
      <c r="G12" s="552" t="e">
        <f>(100%-G11)*Table44[[#This Row],[Column6]]*G5*G4+G11*Table44[[#This Row],[Column6]]*G5</f>
        <v>#DIV/0!</v>
      </c>
      <c r="H12" s="552" t="e">
        <f>(100%-H11)*Table44[[#This Row],[Column6]]*H4*H5+H11*Table44[[#This Row],[Column6]]*H5</f>
        <v>#DIV/0!</v>
      </c>
      <c r="I12" s="552" t="e">
        <f>(100%-I11)*Table44[[#This Row],[Column6]]*I4*I5+I11*Table44[[#This Row],[Column6]]*I5</f>
        <v>#DIV/0!</v>
      </c>
      <c r="J12" s="552" t="e">
        <f>(100%-J11)*Table44[[#This Row],[Column6]]*J4*J5+J11*Table44[[#This Row],[Column6]]*J5</f>
        <v>#DIV/0!</v>
      </c>
      <c r="K12" s="553">
        <f>(100%-K11)*Table44[[#This Row],[Column6]]*K4*K5+K11*Table44[[#This Row],[Column6]]*K5</f>
        <v>0</v>
      </c>
      <c r="L12" s="108">
        <f>M11*'1'!$B$12</f>
        <v>0</v>
      </c>
      <c r="M12" s="109">
        <f t="shared" si="1"/>
        <v>1.4591422965376402</v>
      </c>
      <c r="N12" s="110">
        <v>2015</v>
      </c>
      <c r="O12" s="111" t="e">
        <f>O11*365/100000</f>
        <v>#DIV/0!</v>
      </c>
      <c r="P12" s="112" t="e">
        <f t="shared" ref="P12:X12" si="6">P11*365/100000</f>
        <v>#DIV/0!</v>
      </c>
      <c r="Q12" s="112" t="e">
        <f t="shared" si="6"/>
        <v>#DIV/0!</v>
      </c>
      <c r="R12" s="112" t="e">
        <f t="shared" si="6"/>
        <v>#DIV/0!</v>
      </c>
      <c r="S12" s="112" t="e">
        <f t="shared" si="6"/>
        <v>#DIV/0!</v>
      </c>
      <c r="T12" s="112" t="e">
        <f t="shared" si="6"/>
        <v>#DIV/0!</v>
      </c>
      <c r="U12" s="112" t="e">
        <f t="shared" si="6"/>
        <v>#DIV/0!</v>
      </c>
      <c r="V12" s="112" t="e">
        <f t="shared" si="6"/>
        <v>#DIV/0!</v>
      </c>
      <c r="W12" s="112" t="e">
        <f t="shared" si="6"/>
        <v>#DIV/0!</v>
      </c>
      <c r="X12" s="113" t="e">
        <f t="shared" si="6"/>
        <v>#DIV/0!</v>
      </c>
    </row>
    <row r="13" spans="1:24" ht="16.5" thickBot="1">
      <c r="A13" s="94" t="s">
        <v>352</v>
      </c>
      <c r="B13" s="58" t="s">
        <v>188</v>
      </c>
      <c r="C13" s="58">
        <f>'3'!E7</f>
        <v>0</v>
      </c>
      <c r="D13" s="58"/>
      <c r="E13" s="58"/>
      <c r="F13" s="58"/>
      <c r="G13" s="58"/>
      <c r="H13" s="58"/>
      <c r="I13" s="58"/>
      <c r="J13" s="58"/>
      <c r="K13" s="58"/>
      <c r="L13" s="114"/>
      <c r="M13" s="114"/>
      <c r="N13" s="115"/>
      <c r="O13" s="116"/>
      <c r="P13" s="116"/>
      <c r="Q13" s="116"/>
      <c r="R13" s="116"/>
      <c r="S13" s="116"/>
      <c r="T13" s="116"/>
      <c r="U13" s="116"/>
      <c r="V13" s="116"/>
      <c r="W13" s="116"/>
      <c r="X13" s="116"/>
    </row>
    <row r="14" spans="1:24">
      <c r="A14" s="64" t="s">
        <v>353</v>
      </c>
      <c r="B14" s="117">
        <f>'Area&amp;Cost'!H8</f>
        <v>0</v>
      </c>
      <c r="C14" s="117" t="e">
        <f>'15'!B22</f>
        <v>#DIV/0!</v>
      </c>
      <c r="D14" s="118"/>
      <c r="E14" s="119"/>
      <c r="L14" s="120" t="e">
        <f>D16*Table44[[#This Row],[Column3]]</f>
        <v>#DIV/0!</v>
      </c>
      <c r="M14" s="121" t="e">
        <f>L14</f>
        <v>#DIV/0!</v>
      </c>
      <c r="N14" s="122" t="e">
        <f>M14*C13</f>
        <v>#DIV/0!</v>
      </c>
      <c r="O14" s="116"/>
      <c r="P14" s="116"/>
      <c r="Q14" s="116"/>
      <c r="R14" s="116"/>
      <c r="S14" s="116"/>
      <c r="T14" s="116"/>
      <c r="U14" s="116"/>
      <c r="V14" s="116"/>
      <c r="W14" s="116"/>
      <c r="X14" s="116"/>
    </row>
    <row r="15" spans="1:24">
      <c r="A15" s="64" t="s">
        <v>354</v>
      </c>
      <c r="B15" s="117">
        <f>'Area&amp;Cost'!H9</f>
        <v>0</v>
      </c>
      <c r="C15" s="117" t="e">
        <f>'15'!C22</f>
        <v>#DIV/0!</v>
      </c>
      <c r="D15" s="118"/>
      <c r="E15" s="119"/>
      <c r="L15" s="123" t="e">
        <f>D16*Table44[[#This Row],[Column3]]</f>
        <v>#DIV/0!</v>
      </c>
      <c r="M15" s="124" t="e">
        <f>L15*2</f>
        <v>#DIV/0!</v>
      </c>
      <c r="N15" s="125" t="e">
        <f>M15*C13</f>
        <v>#DIV/0!</v>
      </c>
      <c r="O15" s="116"/>
      <c r="P15" s="116"/>
      <c r="Q15" s="116"/>
      <c r="R15" s="116"/>
      <c r="S15" s="116"/>
      <c r="T15" s="116"/>
      <c r="U15" s="116"/>
      <c r="V15" s="116"/>
      <c r="W15" s="116"/>
      <c r="X15" s="116"/>
    </row>
    <row r="16" spans="1:24" s="58" customFormat="1" ht="16.5" thickBot="1">
      <c r="A16" s="94" t="s">
        <v>355</v>
      </c>
      <c r="D16" s="126">
        <f>'Area&amp;Cost'!H7</f>
        <v>0</v>
      </c>
      <c r="L16" s="127" t="e">
        <f>L14+L15</f>
        <v>#DIV/0!</v>
      </c>
      <c r="M16" s="128" t="e">
        <f>M14+M15</f>
        <v>#DIV/0!</v>
      </c>
      <c r="N16" s="129" t="e">
        <f>N14+N15</f>
        <v>#DIV/0!</v>
      </c>
      <c r="O16" s="130"/>
      <c r="P16" s="130"/>
      <c r="Q16" s="130"/>
      <c r="R16" s="130"/>
      <c r="S16" s="130"/>
      <c r="T16" s="130"/>
      <c r="U16" s="130"/>
      <c r="V16" s="130"/>
      <c r="W16" s="130"/>
      <c r="X16" s="130"/>
    </row>
    <row r="17" spans="1:24" s="58" customFormat="1" ht="15.75">
      <c r="A17" s="94" t="s">
        <v>356</v>
      </c>
      <c r="E17" s="58">
        <f>'Area&amp;Cost'!F15</f>
        <v>0</v>
      </c>
      <c r="F17" s="60" t="e">
        <f>Table44[[#This Row],[Column5]]*N16</f>
        <v>#DIV/0!</v>
      </c>
      <c r="G17" s="60" t="e">
        <f>Table44[[#This Row],[Column6]]*G5*G4</f>
        <v>#DIV/0!</v>
      </c>
      <c r="H17" s="60" t="e">
        <f>Table44[[#This Row],[Column6]]*H5*H4</f>
        <v>#DIV/0!</v>
      </c>
      <c r="I17" s="60" t="e">
        <f>Table44[[#This Row],[Column6]]*I5*I4</f>
        <v>#DIV/0!</v>
      </c>
      <c r="J17" s="60" t="e">
        <f>Table44[[#This Row],[Column6]]*J5*J4</f>
        <v>#DIV/0!</v>
      </c>
      <c r="K17" s="60" t="e">
        <f>Table44[[#This Row],[Column6]]*K5*K4</f>
        <v>#DIV/0!</v>
      </c>
      <c r="L17" s="131"/>
      <c r="M17" s="131"/>
      <c r="N17" s="132"/>
      <c r="O17" s="132"/>
      <c r="P17" s="132"/>
      <c r="Q17" s="132"/>
      <c r="R17" s="132"/>
      <c r="S17" s="132"/>
      <c r="T17" s="132"/>
      <c r="U17" s="132"/>
      <c r="V17" s="132"/>
      <c r="W17" s="132"/>
      <c r="X17" s="132"/>
    </row>
    <row r="18" spans="1:24" s="58" customFormat="1" ht="6.75" customHeight="1" thickBot="1">
      <c r="A18" s="94"/>
      <c r="F18" s="60"/>
      <c r="G18" s="60"/>
      <c r="H18" s="60"/>
      <c r="I18" s="60"/>
      <c r="J18" s="60"/>
      <c r="K18" s="60"/>
      <c r="L18" s="131"/>
      <c r="M18" s="131"/>
      <c r="N18" s="132"/>
      <c r="O18" s="132"/>
      <c r="P18" s="132"/>
      <c r="Q18" s="132"/>
      <c r="R18" s="132"/>
      <c r="S18" s="132"/>
      <c r="T18" s="132"/>
      <c r="U18" s="132"/>
      <c r="V18" s="132"/>
      <c r="W18" s="132"/>
      <c r="X18" s="132"/>
    </row>
    <row r="19" spans="1:24" ht="15.75">
      <c r="A19" s="846" t="s">
        <v>357</v>
      </c>
      <c r="B19" s="67" t="s">
        <v>422</v>
      </c>
      <c r="C19" s="67" t="s">
        <v>427</v>
      </c>
      <c r="D19" s="67" t="s">
        <v>428</v>
      </c>
      <c r="E19" s="67" t="s">
        <v>429</v>
      </c>
      <c r="F19" s="67" t="s">
        <v>424</v>
      </c>
      <c r="G19" s="882">
        <f>G3</f>
        <v>0</v>
      </c>
      <c r="H19" s="882">
        <f t="shared" ref="H19:K19" si="7">H3</f>
        <v>1</v>
      </c>
      <c r="I19" s="882">
        <f t="shared" si="7"/>
        <v>2</v>
      </c>
      <c r="J19" s="882">
        <f t="shared" si="7"/>
        <v>3</v>
      </c>
      <c r="K19" s="889">
        <f t="shared" si="7"/>
        <v>4</v>
      </c>
    </row>
    <row r="20" spans="1:24" ht="16.5" thickBot="1">
      <c r="A20" s="847"/>
      <c r="B20" s="85"/>
      <c r="C20" s="85" t="s">
        <v>430</v>
      </c>
      <c r="D20" s="85"/>
      <c r="E20" s="85" t="s">
        <v>431</v>
      </c>
      <c r="F20" s="85" t="s">
        <v>286</v>
      </c>
      <c r="G20" s="133" t="e">
        <f>G4</f>
        <v>#DIV/0!</v>
      </c>
      <c r="H20" s="133" t="e">
        <f>H4</f>
        <v>#DIV/0!</v>
      </c>
      <c r="I20" s="133" t="e">
        <f>I4</f>
        <v>#DIV/0!</v>
      </c>
      <c r="J20" s="133" t="e">
        <f>J4</f>
        <v>#DIV/0!</v>
      </c>
      <c r="K20" s="134">
        <f>K4</f>
        <v>0</v>
      </c>
    </row>
    <row r="21" spans="1:24">
      <c r="A21" s="64" t="s">
        <v>358</v>
      </c>
      <c r="B21" s="52">
        <f>'Area&amp;Cost'!D13</f>
        <v>0</v>
      </c>
      <c r="C21" s="52">
        <f>'4'!B27</f>
        <v>0</v>
      </c>
      <c r="D21" s="52">
        <f>Table43[[#This Row],[Column3]]/2</f>
        <v>0</v>
      </c>
      <c r="E21" s="52">
        <f>'Area&amp;Cost'!E13</f>
        <v>0</v>
      </c>
      <c r="F21" s="56">
        <f>Table43[[#This Row],[Column4]]*E25*Table43[[#This Row],[Column5]]/30</f>
        <v>0</v>
      </c>
    </row>
    <row r="22" spans="1:24">
      <c r="A22" s="64" t="s">
        <v>359</v>
      </c>
      <c r="B22" s="52">
        <f>'Area&amp;Cost'!D14</f>
        <v>0</v>
      </c>
      <c r="C22" s="52">
        <f>'4'!B28</f>
        <v>0</v>
      </c>
      <c r="D22" s="52">
        <f>Table43[[#This Row],[Column3]]/2</f>
        <v>0</v>
      </c>
      <c r="E22" s="52">
        <f>'Area&amp;Cost'!E14</f>
        <v>0</v>
      </c>
      <c r="F22" s="56">
        <f>Table43[[#This Row],[Column4]]*E25*Table43[[#This Row],[Column5]]/30</f>
        <v>0</v>
      </c>
    </row>
    <row r="24" spans="1:24" s="58" customFormat="1" ht="15.75">
      <c r="A24" s="64"/>
      <c r="B24" s="52"/>
      <c r="C24" s="52"/>
      <c r="D24" s="52"/>
      <c r="E24" s="52"/>
      <c r="F24" s="52"/>
      <c r="G24" s="52"/>
      <c r="H24" s="52"/>
      <c r="I24" s="52"/>
      <c r="J24" s="52"/>
      <c r="K24" s="52"/>
      <c r="L24" s="131"/>
      <c r="M24" s="131"/>
      <c r="N24" s="132"/>
      <c r="O24" s="132"/>
      <c r="P24" s="132"/>
      <c r="Q24" s="132"/>
      <c r="R24" s="132"/>
      <c r="S24" s="132"/>
      <c r="T24" s="132"/>
      <c r="U24" s="132"/>
      <c r="V24" s="132"/>
      <c r="W24" s="132"/>
      <c r="X24" s="132"/>
    </row>
    <row r="25" spans="1:24" s="58" customFormat="1" ht="15.75">
      <c r="A25" s="94" t="s">
        <v>360</v>
      </c>
      <c r="E25" s="58">
        <f>'Area&amp;Cost'!F13</f>
        <v>0</v>
      </c>
      <c r="F25" s="60">
        <f>SUM(F21:F24)</f>
        <v>0</v>
      </c>
      <c r="G25" s="60">
        <f>Table43[[#This Row],[Column6]]*G5</f>
        <v>0</v>
      </c>
      <c r="H25" s="60">
        <f>Table43[[#This Row],[Column6]]*H5</f>
        <v>0</v>
      </c>
      <c r="I25" s="60">
        <f>Table43[[#This Row],[Column6]]*I5</f>
        <v>0</v>
      </c>
      <c r="J25" s="60">
        <f>Table43[[#This Row],[Column6]]*J5</f>
        <v>0</v>
      </c>
      <c r="K25" s="60">
        <f>Table43[[#This Row],[Column6]]*K5</f>
        <v>0</v>
      </c>
      <c r="L25" s="131"/>
      <c r="M25" s="131"/>
      <c r="N25" s="132"/>
      <c r="O25" s="132"/>
      <c r="P25" s="132"/>
      <c r="Q25" s="132"/>
      <c r="R25" s="132"/>
      <c r="S25" s="132"/>
      <c r="T25" s="132"/>
      <c r="U25" s="132"/>
      <c r="V25" s="132"/>
      <c r="W25" s="132"/>
      <c r="X25" s="132"/>
    </row>
    <row r="26" spans="1:24" ht="15.75">
      <c r="A26" s="94" t="s">
        <v>680</v>
      </c>
      <c r="B26" s="58"/>
      <c r="C26" s="58"/>
      <c r="D26" s="58"/>
      <c r="E26" s="58"/>
      <c r="F26" s="60" t="e">
        <f t="shared" ref="F26:K26" si="8">F12+F17+F25</f>
        <v>#DIV/0!</v>
      </c>
      <c r="G26" s="60" t="e">
        <f t="shared" si="8"/>
        <v>#DIV/0!</v>
      </c>
      <c r="H26" s="60" t="e">
        <f t="shared" si="8"/>
        <v>#DIV/0!</v>
      </c>
      <c r="I26" s="60" t="e">
        <f t="shared" si="8"/>
        <v>#DIV/0!</v>
      </c>
      <c r="J26" s="60" t="e">
        <f t="shared" si="8"/>
        <v>#DIV/0!</v>
      </c>
      <c r="K26" s="60" t="e">
        <f t="shared" si="8"/>
        <v>#DIV/0!</v>
      </c>
    </row>
    <row r="27" spans="1:24">
      <c r="F27" s="52" t="s">
        <v>432</v>
      </c>
    </row>
    <row r="28" spans="1:24" s="58" customFormat="1" ht="31.5">
      <c r="A28" s="94" t="s">
        <v>684</v>
      </c>
      <c r="F28" s="60" t="e">
        <f t="shared" ref="F28:K28" si="9">F26*365/100000</f>
        <v>#DIV/0!</v>
      </c>
      <c r="G28" s="60" t="e">
        <f t="shared" si="9"/>
        <v>#DIV/0!</v>
      </c>
      <c r="H28" s="60" t="e">
        <f t="shared" si="9"/>
        <v>#DIV/0!</v>
      </c>
      <c r="I28" s="60" t="e">
        <f t="shared" si="9"/>
        <v>#DIV/0!</v>
      </c>
      <c r="J28" s="60" t="e">
        <f t="shared" si="9"/>
        <v>#DIV/0!</v>
      </c>
      <c r="K28" s="60" t="e">
        <f t="shared" si="9"/>
        <v>#DIV/0!</v>
      </c>
      <c r="L28" s="131"/>
      <c r="M28" s="131"/>
      <c r="N28" s="132"/>
      <c r="O28" s="132"/>
      <c r="P28" s="132"/>
      <c r="Q28" s="132"/>
      <c r="R28" s="132"/>
      <c r="S28" s="132"/>
      <c r="T28" s="132"/>
      <c r="U28" s="132"/>
      <c r="V28" s="132"/>
      <c r="W28" s="132"/>
      <c r="X28" s="132"/>
    </row>
    <row r="29" spans="1:24" s="58" customFormat="1" ht="15.75">
      <c r="A29" s="64" t="s">
        <v>683</v>
      </c>
      <c r="B29" s="52"/>
      <c r="C29" s="52"/>
      <c r="D29" s="52"/>
      <c r="E29" s="52"/>
      <c r="F29" s="52"/>
      <c r="G29" s="56" t="e">
        <f>'17'!B11</f>
        <v>#DIV/0!</v>
      </c>
      <c r="H29" s="56" t="e">
        <f>'17'!C11</f>
        <v>#DIV/0!</v>
      </c>
      <c r="I29" s="56" t="e">
        <f>'17'!D11</f>
        <v>#DIV/0!</v>
      </c>
      <c r="J29" s="56" t="e">
        <f>'17'!E11</f>
        <v>#DIV/0!</v>
      </c>
      <c r="K29" s="56" t="e">
        <f>'17'!F11</f>
        <v>#DIV/0!</v>
      </c>
      <c r="L29" s="131"/>
      <c r="M29" s="131"/>
      <c r="N29" s="132"/>
      <c r="O29" s="132"/>
      <c r="P29" s="132"/>
      <c r="Q29" s="132"/>
      <c r="R29" s="132"/>
      <c r="S29" s="132"/>
      <c r="T29" s="132"/>
      <c r="U29" s="132"/>
      <c r="V29" s="132"/>
      <c r="W29" s="132"/>
      <c r="X29" s="132"/>
    </row>
    <row r="30" spans="1:24" s="58" customFormat="1" ht="31.5">
      <c r="A30" s="94" t="s">
        <v>361</v>
      </c>
      <c r="G30" s="50" t="e">
        <f>G28/G29</f>
        <v>#DIV/0!</v>
      </c>
      <c r="H30" s="50" t="e">
        <f>H28/H29</f>
        <v>#DIV/0!</v>
      </c>
      <c r="I30" s="50" t="e">
        <f>I28/I29</f>
        <v>#DIV/0!</v>
      </c>
      <c r="J30" s="50" t="e">
        <f>J28/J29</f>
        <v>#DIV/0!</v>
      </c>
      <c r="K30" s="50" t="e">
        <f>K28/K29</f>
        <v>#DIV/0!</v>
      </c>
      <c r="L30" s="131"/>
      <c r="M30" s="131"/>
      <c r="N30" s="132"/>
      <c r="O30" s="132"/>
      <c r="P30" s="132"/>
      <c r="Q30" s="132"/>
      <c r="R30" s="132"/>
      <c r="S30" s="132"/>
      <c r="T30" s="132"/>
      <c r="U30" s="132"/>
      <c r="V30" s="132"/>
      <c r="W30" s="132"/>
      <c r="X30" s="132"/>
    </row>
    <row r="31" spans="1:24" ht="15.75">
      <c r="D31" s="58" t="s">
        <v>433</v>
      </c>
      <c r="E31" s="58" t="s">
        <v>350</v>
      </c>
      <c r="F31" s="58"/>
      <c r="G31" s="49" t="e">
        <f>G12*365/100000</f>
        <v>#DIV/0!</v>
      </c>
      <c r="H31" s="49" t="e">
        <f>H12*365/100000</f>
        <v>#DIV/0!</v>
      </c>
      <c r="I31" s="49" t="e">
        <f>I12*365/100000</f>
        <v>#DIV/0!</v>
      </c>
      <c r="J31" s="49" t="e">
        <f>J12*365/100000</f>
        <v>#DIV/0!</v>
      </c>
      <c r="K31" s="49">
        <f>K12*365/100000</f>
        <v>0</v>
      </c>
    </row>
    <row r="32" spans="1:24" ht="15.75">
      <c r="D32" s="58"/>
      <c r="E32" s="58" t="s">
        <v>434</v>
      </c>
      <c r="F32" s="58"/>
      <c r="G32" s="49" t="e">
        <f>G17*365/100000</f>
        <v>#DIV/0!</v>
      </c>
      <c r="H32" s="49" t="e">
        <f t="shared" ref="H32:X32" si="10">H17*365/100000</f>
        <v>#DIV/0!</v>
      </c>
      <c r="I32" s="49" t="e">
        <f t="shared" si="10"/>
        <v>#DIV/0!</v>
      </c>
      <c r="J32" s="49" t="e">
        <f t="shared" si="10"/>
        <v>#DIV/0!</v>
      </c>
      <c r="K32" s="49" t="e">
        <f t="shared" si="10"/>
        <v>#DIV/0!</v>
      </c>
      <c r="L32" s="49">
        <f t="shared" si="10"/>
        <v>0</v>
      </c>
      <c r="M32" s="49">
        <f t="shared" si="10"/>
        <v>0</v>
      </c>
      <c r="N32" s="49">
        <f t="shared" si="10"/>
        <v>0</v>
      </c>
      <c r="O32" s="49">
        <f t="shared" si="10"/>
        <v>0</v>
      </c>
      <c r="P32" s="49">
        <f t="shared" si="10"/>
        <v>0</v>
      </c>
      <c r="Q32" s="49">
        <f t="shared" si="10"/>
        <v>0</v>
      </c>
      <c r="R32" s="49">
        <f t="shared" si="10"/>
        <v>0</v>
      </c>
      <c r="S32" s="49">
        <f t="shared" si="10"/>
        <v>0</v>
      </c>
      <c r="T32" s="49">
        <f t="shared" si="10"/>
        <v>0</v>
      </c>
      <c r="U32" s="49">
        <f t="shared" si="10"/>
        <v>0</v>
      </c>
      <c r="V32" s="49">
        <f t="shared" si="10"/>
        <v>0</v>
      </c>
      <c r="W32" s="49">
        <f t="shared" si="10"/>
        <v>0</v>
      </c>
      <c r="X32" s="49">
        <f t="shared" si="10"/>
        <v>0</v>
      </c>
    </row>
    <row r="33" spans="4:24" s="52" customFormat="1" ht="15.75">
      <c r="D33" s="58"/>
      <c r="E33" s="58" t="s">
        <v>437</v>
      </c>
      <c r="F33" s="58"/>
      <c r="G33" s="548" t="e">
        <f>G31+G32</f>
        <v>#DIV/0!</v>
      </c>
      <c r="H33" s="548" t="e">
        <f t="shared" ref="H33:X33" si="11">H31+H32</f>
        <v>#DIV/0!</v>
      </c>
      <c r="I33" s="548" t="e">
        <f t="shared" si="11"/>
        <v>#DIV/0!</v>
      </c>
      <c r="J33" s="548" t="e">
        <f t="shared" si="11"/>
        <v>#DIV/0!</v>
      </c>
      <c r="K33" s="548" t="e">
        <f t="shared" si="11"/>
        <v>#DIV/0!</v>
      </c>
      <c r="L33" s="135">
        <f t="shared" si="11"/>
        <v>0</v>
      </c>
      <c r="M33" s="135">
        <f t="shared" si="11"/>
        <v>0</v>
      </c>
      <c r="N33" s="135">
        <f t="shared" si="11"/>
        <v>0</v>
      </c>
      <c r="O33" s="135">
        <f t="shared" si="11"/>
        <v>0</v>
      </c>
      <c r="P33" s="135">
        <f t="shared" si="11"/>
        <v>0</v>
      </c>
      <c r="Q33" s="135">
        <f t="shared" si="11"/>
        <v>0</v>
      </c>
      <c r="R33" s="135">
        <f t="shared" si="11"/>
        <v>0</v>
      </c>
      <c r="S33" s="135">
        <f t="shared" si="11"/>
        <v>0</v>
      </c>
      <c r="T33" s="135">
        <f t="shared" si="11"/>
        <v>0</v>
      </c>
      <c r="U33" s="135">
        <f t="shared" si="11"/>
        <v>0</v>
      </c>
      <c r="V33" s="135">
        <f t="shared" si="11"/>
        <v>0</v>
      </c>
      <c r="W33" s="135">
        <f t="shared" si="11"/>
        <v>0</v>
      </c>
      <c r="X33" s="135">
        <f t="shared" si="11"/>
        <v>0</v>
      </c>
    </row>
    <row r="34" spans="4:24" s="52" customFormat="1" ht="15.75">
      <c r="D34" s="58"/>
      <c r="E34" s="58" t="s">
        <v>435</v>
      </c>
      <c r="F34" s="58"/>
      <c r="G34" s="49">
        <f>G25*365/100000</f>
        <v>0</v>
      </c>
      <c r="H34" s="49">
        <f>H25*365/100000</f>
        <v>0</v>
      </c>
      <c r="I34" s="49">
        <f>I25*365/100000</f>
        <v>0</v>
      </c>
      <c r="J34" s="49">
        <f>J25*365/100000</f>
        <v>0</v>
      </c>
      <c r="K34" s="49">
        <f>K25*365/100000</f>
        <v>0</v>
      </c>
      <c r="L34" s="62"/>
      <c r="M34" s="62"/>
      <c r="N34" s="63"/>
      <c r="O34" s="63"/>
      <c r="P34" s="63"/>
      <c r="Q34" s="63"/>
      <c r="R34" s="63"/>
      <c r="S34" s="63"/>
      <c r="T34" s="63"/>
      <c r="U34" s="63"/>
      <c r="V34" s="63"/>
      <c r="W34" s="63"/>
      <c r="X34" s="63"/>
    </row>
    <row r="35" spans="4:24" s="52" customFormat="1" ht="16.5" thickBot="1">
      <c r="D35" s="58"/>
      <c r="E35" s="58" t="s">
        <v>436</v>
      </c>
      <c r="F35" s="58"/>
      <c r="G35" s="547" t="e">
        <f>G33+G34</f>
        <v>#DIV/0!</v>
      </c>
      <c r="H35" s="547" t="e">
        <f>H33+H34</f>
        <v>#DIV/0!</v>
      </c>
      <c r="I35" s="547" t="e">
        <f>I33+I34</f>
        <v>#DIV/0!</v>
      </c>
      <c r="J35" s="547" t="e">
        <f>J33+J34</f>
        <v>#DIV/0!</v>
      </c>
      <c r="K35" s="547" t="e">
        <f>K33+K34</f>
        <v>#DIV/0!</v>
      </c>
      <c r="L35" s="62"/>
      <c r="M35" s="62"/>
      <c r="N35" s="63"/>
      <c r="O35" s="63"/>
      <c r="P35" s="63"/>
      <c r="Q35" s="63"/>
      <c r="R35" s="63"/>
      <c r="S35" s="63"/>
      <c r="T35" s="63"/>
      <c r="U35" s="63"/>
      <c r="V35" s="63"/>
      <c r="W35" s="63"/>
      <c r="X35" s="63"/>
    </row>
    <row r="36" spans="4:24" ht="15.75" thickTop="1"/>
  </sheetData>
  <sheetProtection password="DA39" sheet="1" objects="1" scenarios="1" selectLockedCells="1"/>
  <mergeCells count="2">
    <mergeCell ref="A19:A20"/>
    <mergeCell ref="A1:K1"/>
  </mergeCells>
  <printOptions horizontalCentered="1"/>
  <pageMargins left="0.25" right="0.25" top="0.75" bottom="0.75" header="0.3" footer="0.3"/>
  <pageSetup scale="86" orientation="landscape" r:id="rId1"/>
  <headerFooter>
    <oddFooter>&amp;L&amp;F&amp;R&amp;A</oddFooter>
  </headerFooter>
  <tableParts count="2">
    <tablePart r:id="rId2"/>
    <tablePart r:id="rId3"/>
  </tableParts>
</worksheet>
</file>

<file path=xl/worksheets/sheet27.xml><?xml version="1.0" encoding="utf-8"?>
<worksheet xmlns="http://schemas.openxmlformats.org/spreadsheetml/2006/main" xmlns:r="http://schemas.openxmlformats.org/officeDocument/2006/relationships">
  <sheetPr>
    <pageSetUpPr fitToPage="1"/>
  </sheetPr>
  <dimension ref="A1:N15"/>
  <sheetViews>
    <sheetView showGridLines="0" workbookViewId="0">
      <selection activeCell="B6" sqref="B6"/>
    </sheetView>
  </sheetViews>
  <sheetFormatPr defaultColWidth="35.7109375" defaultRowHeight="15"/>
  <cols>
    <col min="1" max="1" width="45.28515625" style="52" customWidth="1"/>
    <col min="2" max="2" width="9.85546875" style="52" customWidth="1"/>
    <col min="3" max="3" width="12.85546875" style="52" bestFit="1" customWidth="1"/>
    <col min="4" max="4" width="14.85546875" style="52" bestFit="1" customWidth="1"/>
    <col min="5" max="8" width="12.140625" style="52" bestFit="1" customWidth="1"/>
    <col min="9" max="9" width="11.5703125" style="52" bestFit="1" customWidth="1"/>
    <col min="10" max="14" width="12.5703125" style="51" hidden="1" customWidth="1"/>
    <col min="15" max="16384" width="35.7109375" style="52"/>
  </cols>
  <sheetData>
    <row r="1" spans="1:14" ht="16.5" thickBot="1">
      <c r="A1" s="840" t="s">
        <v>362</v>
      </c>
      <c r="B1" s="841"/>
      <c r="C1" s="841"/>
      <c r="D1" s="841"/>
      <c r="E1" s="841"/>
      <c r="F1" s="841"/>
      <c r="G1" s="841"/>
      <c r="H1" s="841"/>
      <c r="I1" s="842"/>
    </row>
    <row r="2" spans="1:14" ht="15.75" thickBot="1">
      <c r="D2" s="988"/>
      <c r="E2" s="989"/>
      <c r="F2" s="989"/>
      <c r="G2" s="989"/>
      <c r="H2" s="989"/>
      <c r="I2" s="990" t="s">
        <v>682</v>
      </c>
    </row>
    <row r="3" spans="1:14" ht="15.75">
      <c r="A3" s="554" t="s">
        <v>363</v>
      </c>
      <c r="B3" s="555" t="s">
        <v>364</v>
      </c>
      <c r="C3" s="555" t="s">
        <v>365</v>
      </c>
      <c r="D3" s="555" t="s">
        <v>366</v>
      </c>
      <c r="E3" s="890">
        <f>'1'!B21</f>
        <v>0</v>
      </c>
      <c r="F3" s="890">
        <f>E3+1</f>
        <v>1</v>
      </c>
      <c r="G3" s="890">
        <f t="shared" ref="G3:I3" si="0">F3+1</f>
        <v>2</v>
      </c>
      <c r="H3" s="890">
        <f t="shared" si="0"/>
        <v>3</v>
      </c>
      <c r="I3" s="894">
        <f t="shared" si="0"/>
        <v>4</v>
      </c>
      <c r="J3" s="891" t="s">
        <v>222</v>
      </c>
      <c r="K3" s="53" t="s">
        <v>223</v>
      </c>
      <c r="L3" s="53" t="s">
        <v>224</v>
      </c>
      <c r="M3" s="53" t="s">
        <v>225</v>
      </c>
      <c r="N3" s="53" t="s">
        <v>226</v>
      </c>
    </row>
    <row r="4" spans="1:14" ht="15.75">
      <c r="A4" s="556"/>
      <c r="B4" s="557" t="s">
        <v>367</v>
      </c>
      <c r="C4" s="557" t="s">
        <v>670</v>
      </c>
      <c r="D4" s="557"/>
      <c r="E4" s="557"/>
      <c r="F4" s="557"/>
      <c r="G4" s="557"/>
      <c r="H4" s="557"/>
      <c r="I4" s="558"/>
      <c r="J4" s="892" t="s">
        <v>122</v>
      </c>
      <c r="K4" s="54" t="s">
        <v>122</v>
      </c>
      <c r="L4" s="54" t="s">
        <v>122</v>
      </c>
      <c r="M4" s="54" t="s">
        <v>122</v>
      </c>
      <c r="N4" s="54" t="s">
        <v>122</v>
      </c>
    </row>
    <row r="5" spans="1:14" ht="16.5" thickBot="1">
      <c r="A5" s="559"/>
      <c r="B5" s="560"/>
      <c r="C5" s="560"/>
      <c r="D5" s="560" t="s">
        <v>368</v>
      </c>
      <c r="E5" s="561">
        <f>'20'!G5</f>
        <v>1.1342249999999998</v>
      </c>
      <c r="F5" s="561">
        <f>'20'!H5</f>
        <v>1.2079496249999997</v>
      </c>
      <c r="G5" s="561">
        <f>'20'!I5</f>
        <v>1.2864663506249996</v>
      </c>
      <c r="H5" s="561">
        <f>'20'!J5</f>
        <v>1.3700866634156246</v>
      </c>
      <c r="I5" s="895">
        <f>'20'!K5</f>
        <v>1.4591422965376402</v>
      </c>
      <c r="J5" s="893">
        <f>I5*106.5%</f>
        <v>1.5539865458125868</v>
      </c>
      <c r="K5" s="55">
        <f>J5*106.5%</f>
        <v>1.6549956712904048</v>
      </c>
      <c r="L5" s="55">
        <f>K5*106.5%</f>
        <v>1.7625703899242811</v>
      </c>
      <c r="M5" s="55">
        <f>L5*106.5%</f>
        <v>1.8771374652693593</v>
      </c>
      <c r="N5" s="55">
        <f>M5*106.5%</f>
        <v>1.9991514005118676</v>
      </c>
    </row>
    <row r="6" spans="1:14">
      <c r="A6" s="144" t="s">
        <v>188</v>
      </c>
      <c r="B6" s="925"/>
      <c r="C6" s="926"/>
      <c r="D6" s="925"/>
      <c r="E6" s="925"/>
      <c r="F6" s="925"/>
      <c r="G6" s="925"/>
      <c r="H6" s="925"/>
      <c r="I6" s="925"/>
      <c r="J6" s="57">
        <f>Table40[[#This Row],[Column4]]*J$5</f>
        <v>0</v>
      </c>
      <c r="K6" s="57">
        <f>Table40[[#This Row],[Column4]]*K$5</f>
        <v>0</v>
      </c>
      <c r="L6" s="57">
        <f>Table40[[#This Row],[Column4]]*L$5</f>
        <v>0</v>
      </c>
      <c r="M6" s="57">
        <f>Table40[[#This Row],[Column4]]*M$5</f>
        <v>0</v>
      </c>
      <c r="N6" s="57">
        <f>Table40[[#This Row],[Column4]]*N$5</f>
        <v>0</v>
      </c>
    </row>
    <row r="7" spans="1:14">
      <c r="A7" s="144" t="s">
        <v>369</v>
      </c>
      <c r="B7" s="925"/>
      <c r="C7" s="926"/>
      <c r="D7" s="925"/>
      <c r="E7" s="925"/>
      <c r="F7" s="925"/>
      <c r="G7" s="925"/>
      <c r="H7" s="925"/>
      <c r="I7" s="925"/>
      <c r="J7" s="57">
        <f>Table40[[#This Row],[Column4]]*J$5</f>
        <v>0</v>
      </c>
      <c r="K7" s="57">
        <f>Table40[[#This Row],[Column4]]*K$5</f>
        <v>0</v>
      </c>
      <c r="L7" s="57">
        <f>Table40[[#This Row],[Column4]]*L$5</f>
        <v>0</v>
      </c>
      <c r="M7" s="57">
        <f>Table40[[#This Row],[Column4]]*M$5</f>
        <v>0</v>
      </c>
      <c r="N7" s="57">
        <f>Table40[[#This Row],[Column4]]*N$5</f>
        <v>0</v>
      </c>
    </row>
    <row r="8" spans="1:14">
      <c r="A8" s="144" t="s">
        <v>370</v>
      </c>
      <c r="B8" s="925"/>
      <c r="C8" s="926"/>
      <c r="D8" s="925"/>
      <c r="E8" s="925"/>
      <c r="F8" s="925"/>
      <c r="G8" s="925"/>
      <c r="H8" s="925"/>
      <c r="I8" s="925"/>
      <c r="J8" s="57">
        <f>Table40[[#This Row],[Column4]]*J$5</f>
        <v>0</v>
      </c>
      <c r="K8" s="57">
        <f>Table40[[#This Row],[Column4]]*K$5</f>
        <v>0</v>
      </c>
      <c r="L8" s="57">
        <f>Table40[[#This Row],[Column4]]*L$5</f>
        <v>0</v>
      </c>
      <c r="M8" s="57">
        <f>Table40[[#This Row],[Column4]]*M$5</f>
        <v>0</v>
      </c>
      <c r="N8" s="57">
        <f>Table40[[#This Row],[Column4]]*N$5</f>
        <v>0</v>
      </c>
    </row>
    <row r="9" spans="1:14">
      <c r="A9" s="144" t="s">
        <v>371</v>
      </c>
      <c r="B9" s="925"/>
      <c r="C9" s="926"/>
      <c r="D9" s="925"/>
      <c r="E9" s="925"/>
      <c r="F9" s="925"/>
      <c r="G9" s="925"/>
      <c r="H9" s="925"/>
      <c r="I9" s="925"/>
      <c r="J9" s="57">
        <f>Table40[[#This Row],[Column4]]*J$5</f>
        <v>0</v>
      </c>
      <c r="K9" s="57">
        <f>Table40[[#This Row],[Column4]]*K$5</f>
        <v>0</v>
      </c>
      <c r="L9" s="57">
        <f>Table40[[#This Row],[Column4]]*L$5</f>
        <v>0</v>
      </c>
      <c r="M9" s="57">
        <f>Table40[[#This Row],[Column4]]*M$5</f>
        <v>0</v>
      </c>
      <c r="N9" s="57">
        <f>Table40[[#This Row],[Column4]]*N$5</f>
        <v>0</v>
      </c>
    </row>
    <row r="10" spans="1:14">
      <c r="A10" s="144" t="s">
        <v>372</v>
      </c>
      <c r="B10" s="925"/>
      <c r="C10" s="926"/>
      <c r="D10" s="925"/>
      <c r="E10" s="925"/>
      <c r="F10" s="925"/>
      <c r="G10" s="925"/>
      <c r="H10" s="925"/>
      <c r="I10" s="925"/>
      <c r="J10" s="57">
        <f>Table40[[#This Row],[Column4]]*J$5</f>
        <v>0</v>
      </c>
      <c r="K10" s="57">
        <f>Table40[[#This Row],[Column4]]*K$5</f>
        <v>0</v>
      </c>
      <c r="L10" s="57">
        <f>Table40[[#This Row],[Column4]]*L$5</f>
        <v>0</v>
      </c>
      <c r="M10" s="57">
        <f>Table40[[#This Row],[Column4]]*M$5</f>
        <v>0</v>
      </c>
      <c r="N10" s="57">
        <f>Table40[[#This Row],[Column4]]*N$5</f>
        <v>0</v>
      </c>
    </row>
    <row r="11" spans="1:14">
      <c r="A11" s="144" t="s">
        <v>373</v>
      </c>
      <c r="B11" s="925"/>
      <c r="C11" s="926"/>
      <c r="D11" s="925"/>
      <c r="E11" s="925"/>
      <c r="F11" s="925"/>
      <c r="G11" s="925"/>
      <c r="H11" s="925"/>
      <c r="I11" s="925"/>
      <c r="J11" s="57">
        <f>Table40[[#This Row],[Column4]]*J$5</f>
        <v>0</v>
      </c>
      <c r="K11" s="57">
        <f>Table40[[#This Row],[Column4]]*K$5</f>
        <v>0</v>
      </c>
      <c r="L11" s="57">
        <f>Table40[[#This Row],[Column4]]*L$5</f>
        <v>0</v>
      </c>
      <c r="M11" s="57">
        <f>Table40[[#This Row],[Column4]]*M$5</f>
        <v>0</v>
      </c>
      <c r="N11" s="57">
        <f>Table40[[#This Row],[Column4]]*N$5</f>
        <v>0</v>
      </c>
    </row>
    <row r="12" spans="1:14">
      <c r="A12" s="144" t="s">
        <v>299</v>
      </c>
      <c r="B12" s="925"/>
      <c r="C12" s="926"/>
      <c r="D12" s="925"/>
      <c r="E12" s="925"/>
      <c r="F12" s="925"/>
      <c r="G12" s="925"/>
      <c r="H12" s="925"/>
      <c r="I12" s="925"/>
      <c r="J12" s="57">
        <f>Table40[[#This Row],[Column4]]*J$5</f>
        <v>0</v>
      </c>
      <c r="K12" s="57">
        <f>Table40[[#This Row],[Column4]]*K$5</f>
        <v>0</v>
      </c>
      <c r="L12" s="57">
        <f>Table40[[#This Row],[Column4]]*L$5</f>
        <v>0</v>
      </c>
      <c r="M12" s="57">
        <f>Table40[[#This Row],[Column4]]*M$5</f>
        <v>0</v>
      </c>
      <c r="N12" s="57">
        <f>Table40[[#This Row],[Column4]]*N$5</f>
        <v>0</v>
      </c>
    </row>
    <row r="13" spans="1:14" s="58" customFormat="1" ht="15.75">
      <c r="A13" s="562" t="s">
        <v>42</v>
      </c>
      <c r="B13" s="927">
        <f>SUBTOTAL(109,B6:B12)</f>
        <v>0</v>
      </c>
      <c r="C13" s="927">
        <f t="shared" ref="C13:I13" si="1">SUBTOTAL(109,C6:C12)</f>
        <v>0</v>
      </c>
      <c r="D13" s="927">
        <f t="shared" si="1"/>
        <v>0</v>
      </c>
      <c r="E13" s="927">
        <f t="shared" si="1"/>
        <v>0</v>
      </c>
      <c r="F13" s="927">
        <f t="shared" si="1"/>
        <v>0</v>
      </c>
      <c r="G13" s="927">
        <f t="shared" si="1"/>
        <v>0</v>
      </c>
      <c r="H13" s="927">
        <f t="shared" si="1"/>
        <v>0</v>
      </c>
      <c r="I13" s="927">
        <f t="shared" si="1"/>
        <v>0</v>
      </c>
      <c r="J13" s="59">
        <f>Table40[[#This Row],[Column4]]*J$5</f>
        <v>0</v>
      </c>
      <c r="K13" s="59">
        <f>Table40[[#This Row],[Column5]]*K$5</f>
        <v>0</v>
      </c>
      <c r="L13" s="59">
        <f>Table40[[#This Row],[Column6]]*L$5</f>
        <v>0</v>
      </c>
      <c r="M13" s="59">
        <f>Table40[[#This Row],[Column7]]*M$5</f>
        <v>0</v>
      </c>
      <c r="N13" s="59">
        <f>Table40[[#This Row],[Column8]]*N$5</f>
        <v>0</v>
      </c>
    </row>
    <row r="14" spans="1:14" s="58" customFormat="1" ht="15.75">
      <c r="A14" s="562" t="s">
        <v>521</v>
      </c>
      <c r="B14" s="928" t="s">
        <v>670</v>
      </c>
      <c r="C14" s="928"/>
      <c r="D14" s="928"/>
      <c r="E14" s="929" t="e">
        <f>(E13*100000)/(12*$B$13)</f>
        <v>#DIV/0!</v>
      </c>
      <c r="F14" s="929" t="e">
        <f>(F13*100000)/(12*$B$13)</f>
        <v>#DIV/0!</v>
      </c>
      <c r="G14" s="929" t="e">
        <f t="shared" ref="G14:N14" si="2">(G13*100000)/(12*$B$13)</f>
        <v>#DIV/0!</v>
      </c>
      <c r="H14" s="929" t="e">
        <f t="shared" si="2"/>
        <v>#DIV/0!</v>
      </c>
      <c r="I14" s="929" t="e">
        <f t="shared" si="2"/>
        <v>#DIV/0!</v>
      </c>
      <c r="J14" s="61" t="e">
        <f t="shared" si="2"/>
        <v>#DIV/0!</v>
      </c>
      <c r="K14" s="61" t="e">
        <f t="shared" si="2"/>
        <v>#DIV/0!</v>
      </c>
      <c r="L14" s="61" t="e">
        <f t="shared" si="2"/>
        <v>#DIV/0!</v>
      </c>
      <c r="M14" s="61" t="e">
        <f t="shared" si="2"/>
        <v>#DIV/0!</v>
      </c>
      <c r="N14" s="61" t="e">
        <f t="shared" si="2"/>
        <v>#DIV/0!</v>
      </c>
    </row>
    <row r="15" spans="1:14" s="58" customFormat="1" ht="15.75">
      <c r="A15" s="562" t="s">
        <v>374</v>
      </c>
      <c r="B15" s="928"/>
      <c r="C15" s="928"/>
      <c r="D15" s="928"/>
      <c r="E15" s="930" t="e">
        <f>E13/'17'!B$15</f>
        <v>#DIV/0!</v>
      </c>
      <c r="F15" s="930" t="e">
        <f>F13/'17'!C$15</f>
        <v>#DIV/0!</v>
      </c>
      <c r="G15" s="930" t="e">
        <f>G13/'17'!D$15</f>
        <v>#DIV/0!</v>
      </c>
      <c r="H15" s="930" t="e">
        <f>H13/'17'!E$15</f>
        <v>#DIV/0!</v>
      </c>
      <c r="I15" s="930" t="e">
        <f>I13/'17'!F$15</f>
        <v>#DIV/0!</v>
      </c>
      <c r="J15" s="564" t="e">
        <f>J13/'17'!G15</f>
        <v>#DIV/0!</v>
      </c>
      <c r="K15" s="564" t="e">
        <f>K13/'17'!H15</f>
        <v>#DIV/0!</v>
      </c>
      <c r="L15" s="564" t="e">
        <f>L13/'17'!I15</f>
        <v>#DIV/0!</v>
      </c>
      <c r="M15" s="564" t="e">
        <f>M13/'17'!J15</f>
        <v>#DIV/0!</v>
      </c>
      <c r="N15" s="564" t="e">
        <f>N13/'17'!K15</f>
        <v>#DIV/0!</v>
      </c>
    </row>
  </sheetData>
  <sheetProtection password="DA39" sheet="1" objects="1" scenarios="1" selectLockedCells="1"/>
  <mergeCells count="1">
    <mergeCell ref="A1:I1"/>
  </mergeCells>
  <printOptions horizontalCentered="1"/>
  <pageMargins left="0.25" right="0.25" top="0.75" bottom="0.75" header="0.3" footer="0.3"/>
  <pageSetup scale="93" orientation="landscape" r:id="rId1"/>
  <headerFooter>
    <oddFooter>&amp;L&amp;F&amp;R&amp;A</oddFooter>
  </headerFooter>
  <tableParts count="1">
    <tablePart r:id="rId2"/>
  </tableParts>
</worksheet>
</file>

<file path=xl/worksheets/sheet28.xml><?xml version="1.0" encoding="utf-8"?>
<worksheet xmlns="http://schemas.openxmlformats.org/spreadsheetml/2006/main" xmlns:r="http://schemas.openxmlformats.org/officeDocument/2006/relationships">
  <dimension ref="A1:U74"/>
  <sheetViews>
    <sheetView showGridLines="0" workbookViewId="0">
      <selection activeCell="B6" sqref="B6"/>
    </sheetView>
  </sheetViews>
  <sheetFormatPr defaultRowHeight="15"/>
  <cols>
    <col min="1" max="1" width="44.42578125" style="18" customWidth="1"/>
    <col min="2" max="2" width="10.42578125" style="19" customWidth="1"/>
    <col min="3" max="3" width="11.5703125" style="20" customWidth="1"/>
    <col min="4" max="4" width="10.42578125" style="19" customWidth="1"/>
    <col min="5" max="5" width="11.5703125" style="20" customWidth="1"/>
    <col min="6" max="6" width="10.42578125" style="19" customWidth="1"/>
    <col min="7" max="7" width="11.5703125" style="20" customWidth="1"/>
    <col min="8" max="8" width="10.42578125" style="19" customWidth="1"/>
    <col min="9" max="9" width="11.5703125" style="20" customWidth="1"/>
    <col min="10" max="10" width="11.42578125" style="19" customWidth="1"/>
    <col min="11" max="11" width="12.28515625" style="20" customWidth="1"/>
    <col min="12" max="12" width="9.28515625" style="16" hidden="1" customWidth="1"/>
    <col min="13" max="13" width="11.140625" style="17" hidden="1" customWidth="1"/>
    <col min="14" max="14" width="9.28515625" style="16" hidden="1" customWidth="1"/>
    <col min="15" max="15" width="12" style="17" hidden="1" customWidth="1"/>
    <col min="16" max="16" width="9.28515625" style="16" hidden="1" customWidth="1"/>
    <col min="17" max="17" width="13" style="17" hidden="1" customWidth="1"/>
    <col min="18" max="18" width="9.28515625" style="16" hidden="1" customWidth="1"/>
    <col min="19" max="19" width="13" style="17" hidden="1" customWidth="1"/>
    <col min="20" max="20" width="9.28515625" style="16" hidden="1" customWidth="1"/>
    <col min="21" max="21" width="13" style="17" hidden="1" customWidth="1"/>
    <col min="22" max="16384" width="9.140625" style="18"/>
  </cols>
  <sheetData>
    <row r="1" spans="1:21" ht="16.5" thickBot="1">
      <c r="A1" s="807" t="s">
        <v>375</v>
      </c>
      <c r="B1" s="808"/>
      <c r="C1" s="808"/>
      <c r="D1" s="808"/>
      <c r="E1" s="808"/>
      <c r="F1" s="808"/>
      <c r="G1" s="808"/>
      <c r="H1" s="808"/>
      <c r="I1" s="808"/>
      <c r="J1" s="808"/>
      <c r="K1" s="809"/>
    </row>
    <row r="2" spans="1:21" ht="15.75" thickBot="1"/>
    <row r="3" spans="1:21" ht="15.75">
      <c r="A3" s="21" t="s">
        <v>363</v>
      </c>
      <c r="B3" s="22" t="s">
        <v>376</v>
      </c>
      <c r="C3" s="896">
        <f>'1'!B21</f>
        <v>0</v>
      </c>
      <c r="D3" s="22" t="s">
        <v>376</v>
      </c>
      <c r="E3" s="896">
        <f>C3+1</f>
        <v>1</v>
      </c>
      <c r="F3" s="22" t="s">
        <v>376</v>
      </c>
      <c r="G3" s="896">
        <f>E3+1</f>
        <v>2</v>
      </c>
      <c r="H3" s="22" t="s">
        <v>376</v>
      </c>
      <c r="I3" s="896">
        <f>G3+1</f>
        <v>3</v>
      </c>
      <c r="J3" s="22" t="s">
        <v>376</v>
      </c>
      <c r="K3" s="903">
        <f>I3+1</f>
        <v>4</v>
      </c>
      <c r="L3" s="901" t="s">
        <v>376</v>
      </c>
      <c r="M3" s="24">
        <v>2016</v>
      </c>
      <c r="N3" s="23" t="s">
        <v>376</v>
      </c>
      <c r="O3" s="24">
        <v>2017</v>
      </c>
      <c r="P3" s="23" t="s">
        <v>376</v>
      </c>
      <c r="Q3" s="24">
        <v>2018</v>
      </c>
      <c r="R3" s="23" t="s">
        <v>376</v>
      </c>
      <c r="S3" s="24">
        <v>2019</v>
      </c>
      <c r="T3" s="23" t="s">
        <v>376</v>
      </c>
      <c r="U3" s="25">
        <v>2020</v>
      </c>
    </row>
    <row r="4" spans="1:21" ht="27" thickBot="1">
      <c r="A4" s="26"/>
      <c r="B4" s="27" t="s">
        <v>256</v>
      </c>
      <c r="C4" s="991" t="s">
        <v>679</v>
      </c>
      <c r="D4" s="27" t="s">
        <v>256</v>
      </c>
      <c r="E4" s="991" t="s">
        <v>681</v>
      </c>
      <c r="F4" s="27" t="s">
        <v>256</v>
      </c>
      <c r="G4" s="991" t="s">
        <v>681</v>
      </c>
      <c r="H4" s="27" t="s">
        <v>256</v>
      </c>
      <c r="I4" s="991" t="s">
        <v>681</v>
      </c>
      <c r="J4" s="27" t="s">
        <v>256</v>
      </c>
      <c r="K4" s="991" t="s">
        <v>681</v>
      </c>
      <c r="L4" s="902" t="s">
        <v>256</v>
      </c>
      <c r="M4" s="29" t="s">
        <v>122</v>
      </c>
      <c r="N4" s="28" t="s">
        <v>256</v>
      </c>
      <c r="O4" s="29" t="s">
        <v>122</v>
      </c>
      <c r="P4" s="28" t="s">
        <v>256</v>
      </c>
      <c r="Q4" s="29" t="s">
        <v>122</v>
      </c>
      <c r="R4" s="28" t="s">
        <v>256</v>
      </c>
      <c r="S4" s="29" t="s">
        <v>122</v>
      </c>
      <c r="T4" s="28" t="s">
        <v>256</v>
      </c>
      <c r="U4" s="30" t="s">
        <v>122</v>
      </c>
    </row>
    <row r="5" spans="1:21" s="31" customFormat="1" ht="15.75">
      <c r="A5" s="31" t="s">
        <v>377</v>
      </c>
      <c r="B5" s="32"/>
      <c r="C5" s="33"/>
      <c r="D5" s="32"/>
      <c r="E5" s="33"/>
      <c r="F5" s="32"/>
      <c r="G5" s="33"/>
      <c r="H5" s="32"/>
      <c r="I5" s="33"/>
      <c r="J5" s="32"/>
      <c r="K5" s="33"/>
      <c r="L5" s="34"/>
      <c r="M5" s="35"/>
      <c r="N5" s="34"/>
      <c r="O5" s="35"/>
      <c r="P5" s="34"/>
      <c r="Q5" s="35"/>
      <c r="R5" s="34"/>
      <c r="S5" s="35"/>
      <c r="T5" s="34"/>
      <c r="U5" s="35"/>
    </row>
    <row r="6" spans="1:21" s="31" customFormat="1" ht="16.5" thickBot="1">
      <c r="A6" s="565" t="s">
        <v>378</v>
      </c>
      <c r="B6" s="897">
        <v>1</v>
      </c>
      <c r="C6" s="566" t="e">
        <f>'17'!B11</f>
        <v>#DIV/0!</v>
      </c>
      <c r="D6" s="567">
        <f>Table41[[#This Row],[Column2]]</f>
        <v>1</v>
      </c>
      <c r="E6" s="566" t="e">
        <f>'17'!C11</f>
        <v>#DIV/0!</v>
      </c>
      <c r="F6" s="567">
        <f>Table41[[#This Row],[Column4]]</f>
        <v>1</v>
      </c>
      <c r="G6" s="566" t="e">
        <f>'17'!D11</f>
        <v>#DIV/0!</v>
      </c>
      <c r="H6" s="567">
        <f>Table41[[#This Row],[Column6]]</f>
        <v>1</v>
      </c>
      <c r="I6" s="566" t="e">
        <f>'17'!E11</f>
        <v>#DIV/0!</v>
      </c>
      <c r="J6" s="567">
        <f>Table41[[#This Row],[Column8]]</f>
        <v>1</v>
      </c>
      <c r="K6" s="568" t="e">
        <f>'17'!F11</f>
        <v>#DIV/0!</v>
      </c>
      <c r="L6" s="36">
        <f>Table41[[#This Row],[Column10]]</f>
        <v>1</v>
      </c>
      <c r="M6" s="35" t="e">
        <f>'17'!G11</f>
        <v>#DIV/0!</v>
      </c>
      <c r="N6" s="34">
        <f>Table41[[#This Row],[Column2]]</f>
        <v>1</v>
      </c>
      <c r="O6" s="35" t="e">
        <f>'17'!H11</f>
        <v>#DIV/0!</v>
      </c>
      <c r="P6" s="34">
        <f>Table41[[#This Row],[Column4]]</f>
        <v>1</v>
      </c>
      <c r="Q6" s="35" t="e">
        <f>'17'!I11</f>
        <v>#DIV/0!</v>
      </c>
      <c r="R6" s="34">
        <f>Table41[[#This Row],[Column6]]</f>
        <v>1</v>
      </c>
      <c r="S6" s="35" t="e">
        <f>'17'!J11</f>
        <v>#DIV/0!</v>
      </c>
      <c r="T6" s="34">
        <f>Table41[[#This Row],[Column8]]</f>
        <v>1</v>
      </c>
      <c r="U6" s="35" t="e">
        <f>'17'!K11</f>
        <v>#DIV/0!</v>
      </c>
    </row>
    <row r="7" spans="1:21" s="31" customFormat="1" ht="16.5" thickTop="1">
      <c r="A7" s="31" t="s">
        <v>379</v>
      </c>
      <c r="B7" s="32"/>
      <c r="C7" s="33"/>
      <c r="D7" s="32"/>
      <c r="E7" s="33"/>
      <c r="F7" s="32"/>
      <c r="G7" s="33"/>
      <c r="H7" s="32"/>
      <c r="I7" s="33"/>
      <c r="J7" s="32"/>
      <c r="K7" s="33"/>
      <c r="L7" s="34"/>
      <c r="M7" s="35"/>
      <c r="N7" s="34"/>
      <c r="O7" s="35"/>
      <c r="P7" s="34"/>
      <c r="Q7" s="35"/>
      <c r="R7" s="34"/>
      <c r="S7" s="35"/>
      <c r="T7" s="34"/>
      <c r="U7" s="35"/>
    </row>
    <row r="8" spans="1:21">
      <c r="A8" s="18" t="s">
        <v>380</v>
      </c>
      <c r="B8" s="19" t="e">
        <f>Table41[[#This Row],[Column3]]/C$6</f>
        <v>#DIV/0!</v>
      </c>
      <c r="C8" s="20">
        <f>'21'!E6</f>
        <v>0</v>
      </c>
      <c r="D8" s="19" t="e">
        <f>Table41[[#This Row],[Column5]]/E$6</f>
        <v>#DIV/0!</v>
      </c>
      <c r="E8" s="20">
        <f>'21'!F6</f>
        <v>0</v>
      </c>
      <c r="F8" s="19" t="e">
        <f>Table41[[#This Row],[Column7]]/G$6</f>
        <v>#DIV/0!</v>
      </c>
      <c r="G8" s="20">
        <f>'21'!G6</f>
        <v>0</v>
      </c>
      <c r="H8" s="19" t="e">
        <f>Table41[[#This Row],[Column9]]/I$6</f>
        <v>#DIV/0!</v>
      </c>
      <c r="I8" s="20">
        <f>'21'!H6</f>
        <v>0</v>
      </c>
      <c r="J8" s="19" t="e">
        <f>Table41[[#This Row],[Column11]]/K$6</f>
        <v>#DIV/0!</v>
      </c>
      <c r="K8" s="20">
        <f>'21'!I6</f>
        <v>0</v>
      </c>
      <c r="L8" s="37" t="e">
        <f>Table41[[#This Row],[Column13]]/M6</f>
        <v>#DIV/0!</v>
      </c>
      <c r="M8" s="38">
        <f>'21'!J6</f>
        <v>0</v>
      </c>
      <c r="N8" s="37" t="e">
        <f>Table41[[#This Row],[Column15]]/O6</f>
        <v>#DIV/0!</v>
      </c>
      <c r="O8" s="38">
        <f>'21'!K6</f>
        <v>0</v>
      </c>
      <c r="P8" s="37" t="e">
        <f>Table41[[#This Row],[Column17]]/Q6</f>
        <v>#DIV/0!</v>
      </c>
      <c r="Q8" s="38">
        <f>'21'!L6</f>
        <v>0</v>
      </c>
      <c r="R8" s="37" t="e">
        <f>Table41[[#This Row],[Column19]]/S6</f>
        <v>#DIV/0!</v>
      </c>
      <c r="S8" s="38">
        <f>'21'!M6</f>
        <v>0</v>
      </c>
      <c r="T8" s="37" t="e">
        <f>Table41[[#This Row],[Column21]]/U6</f>
        <v>#DIV/0!</v>
      </c>
      <c r="U8" s="38">
        <f>'21'!N6</f>
        <v>0</v>
      </c>
    </row>
    <row r="9" spans="1:21">
      <c r="A9" s="18" t="s">
        <v>381</v>
      </c>
      <c r="B9" s="898">
        <v>2.521038543533944E-2</v>
      </c>
      <c r="C9" s="39" t="e">
        <f>Table41[[#This Row],[Column2]]*C$6</f>
        <v>#DIV/0!</v>
      </c>
      <c r="D9" s="19">
        <f>Table41[[#This Row],[Column2]]</f>
        <v>2.521038543533944E-2</v>
      </c>
      <c r="E9" s="39" t="e">
        <f>Table41[[#This Row],[Column2]]*E$6</f>
        <v>#DIV/0!</v>
      </c>
      <c r="F9" s="19">
        <f>Table41[[#This Row],[Column4]]</f>
        <v>2.521038543533944E-2</v>
      </c>
      <c r="G9" s="39" t="e">
        <f>Table41[[#This Row],[Column2]]*G$6</f>
        <v>#DIV/0!</v>
      </c>
      <c r="H9" s="19">
        <f>Table41[[#This Row],[Column6]]</f>
        <v>2.521038543533944E-2</v>
      </c>
      <c r="I9" s="39" t="e">
        <f>Table41[[#This Row],[Column2]]*I$6</f>
        <v>#DIV/0!</v>
      </c>
      <c r="J9" s="19">
        <f>Table41[[#This Row],[Column8]]</f>
        <v>2.521038543533944E-2</v>
      </c>
      <c r="K9" s="39" t="e">
        <f>Table41[[#This Row],[Column2]]*K$6</f>
        <v>#DIV/0!</v>
      </c>
      <c r="L9" s="37">
        <f>Table41[[#This Row],[Column10]]</f>
        <v>2.521038543533944E-2</v>
      </c>
      <c r="M9" s="38" t="e">
        <f>Table41[[#This Row],[Column2]]*M$6</f>
        <v>#DIV/0!</v>
      </c>
      <c r="N9" s="37">
        <f>Table41[[#This Row],[Column2]]</f>
        <v>2.521038543533944E-2</v>
      </c>
      <c r="O9" s="38" t="e">
        <f>Table41[[#This Row],[Column2]]*O$6</f>
        <v>#DIV/0!</v>
      </c>
      <c r="P9" s="37">
        <f>Table41[[#This Row],[Column4]]</f>
        <v>2.521038543533944E-2</v>
      </c>
      <c r="Q9" s="38" t="e">
        <f>Table41[[#This Row],[Column2]]*Q$6</f>
        <v>#DIV/0!</v>
      </c>
      <c r="R9" s="37">
        <f>Table41[[#This Row],[Column6]]</f>
        <v>2.521038543533944E-2</v>
      </c>
      <c r="S9" s="38" t="e">
        <f>Table41[[#This Row],[Column2]]*S$6</f>
        <v>#DIV/0!</v>
      </c>
      <c r="T9" s="37">
        <f>Table41[[#This Row],[Column8]]</f>
        <v>2.521038543533944E-2</v>
      </c>
      <c r="U9" s="38" t="e">
        <f>Table41[[#This Row],[Column2]]*U$6</f>
        <v>#DIV/0!</v>
      </c>
    </row>
    <row r="10" spans="1:21">
      <c r="A10" s="18" t="s">
        <v>382</v>
      </c>
      <c r="B10" s="898">
        <v>1.4989958907499127E-2</v>
      </c>
      <c r="C10" s="39" t="e">
        <f>Table41[[#This Row],[Column2]]*C$6</f>
        <v>#DIV/0!</v>
      </c>
      <c r="D10" s="19">
        <f>Table41[[#This Row],[Column2]]</f>
        <v>1.4989958907499127E-2</v>
      </c>
      <c r="E10" s="39" t="e">
        <f>Table41[[#This Row],[Column2]]*E$6</f>
        <v>#DIV/0!</v>
      </c>
      <c r="F10" s="19">
        <f>Table41[[#This Row],[Column4]]</f>
        <v>1.4989958907499127E-2</v>
      </c>
      <c r="G10" s="39" t="e">
        <f>Table41[[#This Row],[Column2]]*G$6</f>
        <v>#DIV/0!</v>
      </c>
      <c r="H10" s="19">
        <f>Table41[[#This Row],[Column6]]</f>
        <v>1.4989958907499127E-2</v>
      </c>
      <c r="I10" s="39" t="e">
        <f>Table41[[#This Row],[Column2]]*I$6</f>
        <v>#DIV/0!</v>
      </c>
      <c r="J10" s="19">
        <f>Table41[[#This Row],[Column8]]</f>
        <v>1.4989958907499127E-2</v>
      </c>
      <c r="K10" s="39" t="e">
        <f>Table41[[#This Row],[Column2]]*K$6</f>
        <v>#DIV/0!</v>
      </c>
      <c r="L10" s="37">
        <f>Table41[[#This Row],[Column10]]</f>
        <v>1.4989958907499127E-2</v>
      </c>
      <c r="M10" s="38" t="e">
        <f>Table41[[#This Row],[Column2]]*M$6</f>
        <v>#DIV/0!</v>
      </c>
      <c r="N10" s="37">
        <f>Table41[[#This Row],[Column2]]</f>
        <v>1.4989958907499127E-2</v>
      </c>
      <c r="O10" s="38" t="e">
        <f>Table41[[#This Row],[Column2]]*O$6</f>
        <v>#DIV/0!</v>
      </c>
      <c r="P10" s="37">
        <f>Table41[[#This Row],[Column4]]</f>
        <v>1.4989958907499127E-2</v>
      </c>
      <c r="Q10" s="38" t="e">
        <f>Table41[[#This Row],[Column2]]*Q$6</f>
        <v>#DIV/0!</v>
      </c>
      <c r="R10" s="37">
        <f>Table41[[#This Row],[Column6]]</f>
        <v>1.4989958907499127E-2</v>
      </c>
      <c r="S10" s="38" t="e">
        <f>Table41[[#This Row],[Column2]]*S$6</f>
        <v>#DIV/0!</v>
      </c>
      <c r="T10" s="37">
        <f>Table41[[#This Row],[Column8]]</f>
        <v>1.4989958907499127E-2</v>
      </c>
      <c r="U10" s="38" t="e">
        <f>Table41[[#This Row],[Column2]]*U$6</f>
        <v>#DIV/0!</v>
      </c>
    </row>
    <row r="11" spans="1:21">
      <c r="A11" s="18" t="s">
        <v>383</v>
      </c>
      <c r="B11" s="898">
        <v>1.0220426527840314E-2</v>
      </c>
      <c r="C11" s="39" t="e">
        <f>Table41[[#This Row],[Column2]]*C$6</f>
        <v>#DIV/0!</v>
      </c>
      <c r="D11" s="19">
        <f>Table41[[#This Row],[Column2]]</f>
        <v>1.0220426527840314E-2</v>
      </c>
      <c r="E11" s="39" t="e">
        <f>Table41[[#This Row],[Column2]]*E$6</f>
        <v>#DIV/0!</v>
      </c>
      <c r="F11" s="19">
        <f>Table41[[#This Row],[Column4]]</f>
        <v>1.0220426527840314E-2</v>
      </c>
      <c r="G11" s="39" t="e">
        <f>Table41[[#This Row],[Column2]]*G$6</f>
        <v>#DIV/0!</v>
      </c>
      <c r="H11" s="19">
        <f>Table41[[#This Row],[Column6]]</f>
        <v>1.0220426527840314E-2</v>
      </c>
      <c r="I11" s="39" t="e">
        <f>Table41[[#This Row],[Column2]]*I$6</f>
        <v>#DIV/0!</v>
      </c>
      <c r="J11" s="19">
        <f>Table41[[#This Row],[Column8]]</f>
        <v>1.0220426527840314E-2</v>
      </c>
      <c r="K11" s="39" t="e">
        <f>Table41[[#This Row],[Column2]]*K$6</f>
        <v>#DIV/0!</v>
      </c>
      <c r="L11" s="37">
        <f>Table41[[#This Row],[Column10]]</f>
        <v>1.0220426527840314E-2</v>
      </c>
      <c r="M11" s="38" t="e">
        <f>Table41[[#This Row],[Column2]]*M$6</f>
        <v>#DIV/0!</v>
      </c>
      <c r="N11" s="37">
        <f>Table41[[#This Row],[Column2]]</f>
        <v>1.0220426527840314E-2</v>
      </c>
      <c r="O11" s="38" t="e">
        <f>Table41[[#This Row],[Column2]]*O$6</f>
        <v>#DIV/0!</v>
      </c>
      <c r="P11" s="37">
        <f>Table41[[#This Row],[Column4]]</f>
        <v>1.0220426527840314E-2</v>
      </c>
      <c r="Q11" s="38" t="e">
        <f>Table41[[#This Row],[Column2]]*Q$6</f>
        <v>#DIV/0!</v>
      </c>
      <c r="R11" s="37">
        <f>Table41[[#This Row],[Column6]]</f>
        <v>1.0220426527840314E-2</v>
      </c>
      <c r="S11" s="38" t="e">
        <f>Table41[[#This Row],[Column2]]*S$6</f>
        <v>#DIV/0!</v>
      </c>
      <c r="T11" s="37">
        <f>Table41[[#This Row],[Column8]]</f>
        <v>1.0220426527840314E-2</v>
      </c>
      <c r="U11" s="38" t="e">
        <f>Table41[[#This Row],[Column2]]*U$6</f>
        <v>#DIV/0!</v>
      </c>
    </row>
    <row r="12" spans="1:21">
      <c r="A12" s="18" t="s">
        <v>384</v>
      </c>
      <c r="B12" s="898">
        <v>1.7715405981589875E-2</v>
      </c>
      <c r="C12" s="39" t="e">
        <f>Table41[[#This Row],[Column2]]*C$6</f>
        <v>#DIV/0!</v>
      </c>
      <c r="D12" s="19">
        <f>Table41[[#This Row],[Column2]]</f>
        <v>1.7715405981589875E-2</v>
      </c>
      <c r="E12" s="39" t="e">
        <f>Table41[[#This Row],[Column2]]*E$6</f>
        <v>#DIV/0!</v>
      </c>
      <c r="F12" s="19">
        <f>Table41[[#This Row],[Column4]]</f>
        <v>1.7715405981589875E-2</v>
      </c>
      <c r="G12" s="39" t="e">
        <f>Table41[[#This Row],[Column2]]*G$6</f>
        <v>#DIV/0!</v>
      </c>
      <c r="H12" s="19">
        <f>Table41[[#This Row],[Column6]]</f>
        <v>1.7715405981589875E-2</v>
      </c>
      <c r="I12" s="39" t="e">
        <f>Table41[[#This Row],[Column2]]*I$6</f>
        <v>#DIV/0!</v>
      </c>
      <c r="J12" s="19">
        <f>Table41[[#This Row],[Column8]]</f>
        <v>1.7715405981589875E-2</v>
      </c>
      <c r="K12" s="39" t="e">
        <f>Table41[[#This Row],[Column2]]*K$6</f>
        <v>#DIV/0!</v>
      </c>
      <c r="L12" s="37">
        <f>Table41[[#This Row],[Column10]]</f>
        <v>1.7715405981589875E-2</v>
      </c>
      <c r="M12" s="38" t="e">
        <f>Table41[[#This Row],[Column2]]*M$6</f>
        <v>#DIV/0!</v>
      </c>
      <c r="N12" s="37">
        <f>Table41[[#This Row],[Column2]]</f>
        <v>1.7715405981589875E-2</v>
      </c>
      <c r="O12" s="38" t="e">
        <f>Table41[[#This Row],[Column2]]*O$6</f>
        <v>#DIV/0!</v>
      </c>
      <c r="P12" s="37">
        <f>Table41[[#This Row],[Column4]]</f>
        <v>1.7715405981589875E-2</v>
      </c>
      <c r="Q12" s="38" t="e">
        <f>Table41[[#This Row],[Column2]]*Q$6</f>
        <v>#DIV/0!</v>
      </c>
      <c r="R12" s="37">
        <f>Table41[[#This Row],[Column6]]</f>
        <v>1.7715405981589875E-2</v>
      </c>
      <c r="S12" s="38" t="e">
        <f>Table41[[#This Row],[Column2]]*S$6</f>
        <v>#DIV/0!</v>
      </c>
      <c r="T12" s="37">
        <f>Table41[[#This Row],[Column8]]</f>
        <v>1.7715405981589875E-2</v>
      </c>
      <c r="U12" s="38" t="e">
        <f>Table41[[#This Row],[Column2]]*U$6</f>
        <v>#DIV/0!</v>
      </c>
    </row>
    <row r="13" spans="1:21">
      <c r="A13" s="18" t="s">
        <v>385</v>
      </c>
      <c r="B13" s="898">
        <v>1.2264511833408376E-2</v>
      </c>
      <c r="C13" s="39" t="e">
        <f>Table41[[#This Row],[Column2]]*C$6</f>
        <v>#DIV/0!</v>
      </c>
      <c r="D13" s="19">
        <f>Table41[[#This Row],[Column2]]</f>
        <v>1.2264511833408376E-2</v>
      </c>
      <c r="E13" s="39" t="e">
        <f>Table41[[#This Row],[Column2]]*E$6</f>
        <v>#DIV/0!</v>
      </c>
      <c r="F13" s="19">
        <f>Table41[[#This Row],[Column4]]</f>
        <v>1.2264511833408376E-2</v>
      </c>
      <c r="G13" s="39" t="e">
        <f>Table41[[#This Row],[Column2]]*G$6</f>
        <v>#DIV/0!</v>
      </c>
      <c r="H13" s="19">
        <f>Table41[[#This Row],[Column6]]</f>
        <v>1.2264511833408376E-2</v>
      </c>
      <c r="I13" s="39" t="e">
        <f>Table41[[#This Row],[Column2]]*I$6</f>
        <v>#DIV/0!</v>
      </c>
      <c r="J13" s="19">
        <f>Table41[[#This Row],[Column8]]</f>
        <v>1.2264511833408376E-2</v>
      </c>
      <c r="K13" s="39" t="e">
        <f>Table41[[#This Row],[Column2]]*K$6</f>
        <v>#DIV/0!</v>
      </c>
      <c r="L13" s="37">
        <f>Table41[[#This Row],[Column10]]</f>
        <v>1.2264511833408376E-2</v>
      </c>
      <c r="M13" s="38" t="e">
        <f>Table41[[#This Row],[Column2]]*M$6</f>
        <v>#DIV/0!</v>
      </c>
      <c r="N13" s="37">
        <f>Table41[[#This Row],[Column2]]</f>
        <v>1.2264511833408376E-2</v>
      </c>
      <c r="O13" s="38" t="e">
        <f>Table41[[#This Row],[Column2]]*O$6</f>
        <v>#DIV/0!</v>
      </c>
      <c r="P13" s="37">
        <f>Table41[[#This Row],[Column4]]</f>
        <v>1.2264511833408376E-2</v>
      </c>
      <c r="Q13" s="38" t="e">
        <f>Table41[[#This Row],[Column2]]*Q$6</f>
        <v>#DIV/0!</v>
      </c>
      <c r="R13" s="37">
        <f>Table41[[#This Row],[Column6]]</f>
        <v>1.2264511833408376E-2</v>
      </c>
      <c r="S13" s="38" t="e">
        <f>Table41[[#This Row],[Column2]]*S$6</f>
        <v>#DIV/0!</v>
      </c>
      <c r="T13" s="37">
        <f>Table41[[#This Row],[Column8]]</f>
        <v>1.2264511833408376E-2</v>
      </c>
      <c r="U13" s="38" t="e">
        <f>Table41[[#This Row],[Column2]]*U$6</f>
        <v>#DIV/0!</v>
      </c>
    </row>
    <row r="14" spans="1:21">
      <c r="A14" s="18" t="s">
        <v>386</v>
      </c>
      <c r="B14" s="898">
        <v>1.4989958907499127E-2</v>
      </c>
      <c r="C14" s="39" t="e">
        <f>Table41[[#This Row],[Column2]]*C$6</f>
        <v>#DIV/0!</v>
      </c>
      <c r="D14" s="19">
        <f>Table41[[#This Row],[Column2]]</f>
        <v>1.4989958907499127E-2</v>
      </c>
      <c r="E14" s="39" t="e">
        <f>Table41[[#This Row],[Column2]]*E$6</f>
        <v>#DIV/0!</v>
      </c>
      <c r="F14" s="19">
        <f>Table41[[#This Row],[Column4]]</f>
        <v>1.4989958907499127E-2</v>
      </c>
      <c r="G14" s="39" t="e">
        <f>Table41[[#This Row],[Column2]]*G$6</f>
        <v>#DIV/0!</v>
      </c>
      <c r="H14" s="19">
        <f>Table41[[#This Row],[Column6]]</f>
        <v>1.4989958907499127E-2</v>
      </c>
      <c r="I14" s="39" t="e">
        <f>Table41[[#This Row],[Column2]]*I$6</f>
        <v>#DIV/0!</v>
      </c>
      <c r="J14" s="19">
        <f>Table41[[#This Row],[Column8]]</f>
        <v>1.4989958907499127E-2</v>
      </c>
      <c r="K14" s="39" t="e">
        <f>Table41[[#This Row],[Column2]]*K$6</f>
        <v>#DIV/0!</v>
      </c>
      <c r="L14" s="37">
        <f>Table41[[#This Row],[Column10]]</f>
        <v>1.4989958907499127E-2</v>
      </c>
      <c r="M14" s="38" t="e">
        <f>Table41[[#This Row],[Column2]]*M$6</f>
        <v>#DIV/0!</v>
      </c>
      <c r="N14" s="37">
        <f>Table41[[#This Row],[Column2]]</f>
        <v>1.4989958907499127E-2</v>
      </c>
      <c r="O14" s="38" t="e">
        <f>Table41[[#This Row],[Column2]]*O$6</f>
        <v>#DIV/0!</v>
      </c>
      <c r="P14" s="37">
        <f>Table41[[#This Row],[Column4]]</f>
        <v>1.4989958907499127E-2</v>
      </c>
      <c r="Q14" s="38" t="e">
        <f>Table41[[#This Row],[Column2]]*Q$6</f>
        <v>#DIV/0!</v>
      </c>
      <c r="R14" s="37">
        <f>Table41[[#This Row],[Column6]]</f>
        <v>1.4989958907499127E-2</v>
      </c>
      <c r="S14" s="38" t="e">
        <f>Table41[[#This Row],[Column2]]*S$6</f>
        <v>#DIV/0!</v>
      </c>
      <c r="T14" s="37">
        <f>Table41[[#This Row],[Column8]]</f>
        <v>1.4989958907499127E-2</v>
      </c>
      <c r="U14" s="38" t="e">
        <f>Table41[[#This Row],[Column2]]*U$6</f>
        <v>#DIV/0!</v>
      </c>
    </row>
    <row r="15" spans="1:21">
      <c r="A15" s="18" t="s">
        <v>387</v>
      </c>
      <c r="B15" s="898">
        <v>1.975949128715794E-2</v>
      </c>
      <c r="C15" s="39" t="e">
        <f>Table41[[#This Row],[Column2]]*C$6</f>
        <v>#DIV/0!</v>
      </c>
      <c r="D15" s="19">
        <f>Table41[[#This Row],[Column2]]</f>
        <v>1.975949128715794E-2</v>
      </c>
      <c r="E15" s="39" t="e">
        <f>Table41[[#This Row],[Column2]]*E$6</f>
        <v>#DIV/0!</v>
      </c>
      <c r="F15" s="19">
        <f>Table41[[#This Row],[Column4]]</f>
        <v>1.975949128715794E-2</v>
      </c>
      <c r="G15" s="39" t="e">
        <f>Table41[[#This Row],[Column2]]*G$6</f>
        <v>#DIV/0!</v>
      </c>
      <c r="H15" s="19">
        <f>Table41[[#This Row],[Column6]]</f>
        <v>1.975949128715794E-2</v>
      </c>
      <c r="I15" s="39" t="e">
        <f>Table41[[#This Row],[Column2]]*I$6</f>
        <v>#DIV/0!</v>
      </c>
      <c r="J15" s="19">
        <f>Table41[[#This Row],[Column8]]</f>
        <v>1.975949128715794E-2</v>
      </c>
      <c r="K15" s="39" t="e">
        <f>Table41[[#This Row],[Column2]]*K$6</f>
        <v>#DIV/0!</v>
      </c>
      <c r="L15" s="37">
        <f>Table41[[#This Row],[Column10]]</f>
        <v>1.975949128715794E-2</v>
      </c>
      <c r="M15" s="38" t="e">
        <f>Table41[[#This Row],[Column2]]*M$6</f>
        <v>#DIV/0!</v>
      </c>
      <c r="N15" s="37">
        <f>Table41[[#This Row],[Column2]]</f>
        <v>1.975949128715794E-2</v>
      </c>
      <c r="O15" s="38" t="e">
        <f>Table41[[#This Row],[Column2]]*O$6</f>
        <v>#DIV/0!</v>
      </c>
      <c r="P15" s="37">
        <f>Table41[[#This Row],[Column4]]</f>
        <v>1.975949128715794E-2</v>
      </c>
      <c r="Q15" s="38" t="e">
        <f>Table41[[#This Row],[Column2]]*Q$6</f>
        <v>#DIV/0!</v>
      </c>
      <c r="R15" s="37">
        <f>Table41[[#This Row],[Column6]]</f>
        <v>1.975949128715794E-2</v>
      </c>
      <c r="S15" s="38" t="e">
        <f>Table41[[#This Row],[Column2]]*S$6</f>
        <v>#DIV/0!</v>
      </c>
      <c r="T15" s="37">
        <f>Table41[[#This Row],[Column8]]</f>
        <v>1.975949128715794E-2</v>
      </c>
      <c r="U15" s="38" t="e">
        <f>Table41[[#This Row],[Column2]]*U$6</f>
        <v>#DIV/0!</v>
      </c>
    </row>
    <row r="16" spans="1:21" s="31" customFormat="1" ht="16.5" thickBot="1">
      <c r="A16" s="565" t="s">
        <v>388</v>
      </c>
      <c r="B16" s="567" t="e">
        <f t="shared" ref="B16:U16" si="0">SUBTOTAL(109,B8:B15)</f>
        <v>#DIV/0!</v>
      </c>
      <c r="C16" s="566" t="e">
        <f t="shared" si="0"/>
        <v>#DIV/0!</v>
      </c>
      <c r="D16" s="567" t="e">
        <f t="shared" si="0"/>
        <v>#DIV/0!</v>
      </c>
      <c r="E16" s="566" t="e">
        <f t="shared" si="0"/>
        <v>#DIV/0!</v>
      </c>
      <c r="F16" s="567" t="e">
        <f t="shared" si="0"/>
        <v>#DIV/0!</v>
      </c>
      <c r="G16" s="566" t="e">
        <f t="shared" si="0"/>
        <v>#DIV/0!</v>
      </c>
      <c r="H16" s="567" t="e">
        <f t="shared" si="0"/>
        <v>#DIV/0!</v>
      </c>
      <c r="I16" s="566" t="e">
        <f t="shared" si="0"/>
        <v>#DIV/0!</v>
      </c>
      <c r="J16" s="567" t="e">
        <f t="shared" si="0"/>
        <v>#DIV/0!</v>
      </c>
      <c r="K16" s="568" t="e">
        <f t="shared" si="0"/>
        <v>#DIV/0!</v>
      </c>
      <c r="L16" s="34" t="e">
        <f t="shared" si="0"/>
        <v>#DIV/0!</v>
      </c>
      <c r="M16" s="35" t="e">
        <f t="shared" si="0"/>
        <v>#DIV/0!</v>
      </c>
      <c r="N16" s="34" t="e">
        <f t="shared" si="0"/>
        <v>#DIV/0!</v>
      </c>
      <c r="O16" s="35" t="e">
        <f t="shared" si="0"/>
        <v>#DIV/0!</v>
      </c>
      <c r="P16" s="34" t="e">
        <f t="shared" si="0"/>
        <v>#DIV/0!</v>
      </c>
      <c r="Q16" s="35" t="e">
        <f t="shared" si="0"/>
        <v>#DIV/0!</v>
      </c>
      <c r="R16" s="34" t="e">
        <f t="shared" si="0"/>
        <v>#DIV/0!</v>
      </c>
      <c r="S16" s="35" t="e">
        <f t="shared" si="0"/>
        <v>#DIV/0!</v>
      </c>
      <c r="T16" s="34" t="e">
        <f t="shared" si="0"/>
        <v>#DIV/0!</v>
      </c>
      <c r="U16" s="35" t="e">
        <f t="shared" si="0"/>
        <v>#DIV/0!</v>
      </c>
    </row>
    <row r="17" spans="1:21" s="31" customFormat="1" ht="16.5" thickTop="1">
      <c r="A17" s="40"/>
      <c r="B17" s="41"/>
      <c r="C17" s="42"/>
      <c r="D17" s="41"/>
      <c r="E17" s="42"/>
      <c r="F17" s="41"/>
      <c r="G17" s="42"/>
      <c r="H17" s="41"/>
      <c r="I17" s="42"/>
      <c r="J17" s="41"/>
      <c r="K17" s="569"/>
      <c r="L17" s="34">
        <f>Table41[[#This Row],[Column10]]</f>
        <v>0</v>
      </c>
      <c r="M17" s="35">
        <f>'17'!G22</f>
        <v>0</v>
      </c>
      <c r="N17" s="34">
        <f>Table41[[#This Row],[Column2]]</f>
        <v>0</v>
      </c>
      <c r="O17" s="35">
        <f>'17'!H22</f>
        <v>0</v>
      </c>
      <c r="P17" s="34">
        <f>Table41[[#This Row],[Column4]]</f>
        <v>0</v>
      </c>
      <c r="Q17" s="35">
        <f>'17'!I22</f>
        <v>0</v>
      </c>
      <c r="R17" s="34">
        <f>Table41[[#This Row],[Column6]]</f>
        <v>0</v>
      </c>
      <c r="S17" s="35">
        <f>'17'!J22</f>
        <v>0</v>
      </c>
      <c r="T17" s="34">
        <f>Table41[[#This Row],[Column8]]</f>
        <v>0</v>
      </c>
      <c r="U17" s="35">
        <f>'17'!K22</f>
        <v>0</v>
      </c>
    </row>
    <row r="18" spans="1:21" s="31" customFormat="1" ht="16.5" thickBot="1">
      <c r="A18" s="570" t="s">
        <v>389</v>
      </c>
      <c r="B18" s="571" t="e">
        <f>B6-B16</f>
        <v>#DIV/0!</v>
      </c>
      <c r="C18" s="572" t="e">
        <f t="shared" ref="C18:U18" si="1">C6-C16</f>
        <v>#DIV/0!</v>
      </c>
      <c r="D18" s="571" t="e">
        <f t="shared" si="1"/>
        <v>#DIV/0!</v>
      </c>
      <c r="E18" s="572" t="e">
        <f t="shared" si="1"/>
        <v>#DIV/0!</v>
      </c>
      <c r="F18" s="571" t="e">
        <f t="shared" si="1"/>
        <v>#DIV/0!</v>
      </c>
      <c r="G18" s="572" t="e">
        <f t="shared" si="1"/>
        <v>#DIV/0!</v>
      </c>
      <c r="H18" s="571" t="e">
        <f t="shared" si="1"/>
        <v>#DIV/0!</v>
      </c>
      <c r="I18" s="572" t="e">
        <f t="shared" si="1"/>
        <v>#DIV/0!</v>
      </c>
      <c r="J18" s="571" t="e">
        <f t="shared" si="1"/>
        <v>#DIV/0!</v>
      </c>
      <c r="K18" s="573" t="e">
        <f t="shared" si="1"/>
        <v>#DIV/0!</v>
      </c>
      <c r="L18" s="34" t="e">
        <f>Table41[[#This Row],[Column10]]</f>
        <v>#DIV/0!</v>
      </c>
      <c r="M18" s="35" t="e">
        <f t="shared" si="1"/>
        <v>#DIV/0!</v>
      </c>
      <c r="N18" s="34" t="e">
        <f>Table41[[#This Row],[Column2]]</f>
        <v>#DIV/0!</v>
      </c>
      <c r="O18" s="35" t="e">
        <f t="shared" si="1"/>
        <v>#DIV/0!</v>
      </c>
      <c r="P18" s="34" t="e">
        <f>Table41[[#This Row],[Column4]]</f>
        <v>#DIV/0!</v>
      </c>
      <c r="Q18" s="35" t="e">
        <f t="shared" si="1"/>
        <v>#DIV/0!</v>
      </c>
      <c r="R18" s="34" t="e">
        <f>Table41[[#This Row],[Column6]]</f>
        <v>#DIV/0!</v>
      </c>
      <c r="S18" s="35" t="e">
        <f t="shared" si="1"/>
        <v>#DIV/0!</v>
      </c>
      <c r="T18" s="34" t="e">
        <f>Table41[[#This Row],[Column8]]</f>
        <v>#DIV/0!</v>
      </c>
      <c r="U18" s="35" t="e">
        <f t="shared" si="1"/>
        <v>#DIV/0!</v>
      </c>
    </row>
    <row r="19" spans="1:21" s="31" customFormat="1" ht="15.75">
      <c r="B19" s="32"/>
      <c r="C19" s="33"/>
      <c r="D19" s="32"/>
      <c r="E19" s="33"/>
      <c r="F19" s="32"/>
      <c r="G19" s="33"/>
      <c r="H19" s="32"/>
      <c r="I19" s="33"/>
      <c r="J19" s="32"/>
      <c r="K19" s="33"/>
      <c r="L19" s="34"/>
      <c r="M19" s="35"/>
      <c r="N19" s="34"/>
      <c r="O19" s="35"/>
      <c r="P19" s="34"/>
      <c r="Q19" s="35"/>
      <c r="R19" s="34"/>
      <c r="S19" s="35"/>
      <c r="T19" s="34"/>
      <c r="U19" s="35"/>
    </row>
    <row r="20" spans="1:21" s="31" customFormat="1" ht="15.75">
      <c r="A20" s="31" t="s">
        <v>390</v>
      </c>
      <c r="B20" s="32"/>
      <c r="C20" s="33"/>
      <c r="D20" s="32"/>
      <c r="E20" s="33"/>
      <c r="F20" s="32"/>
      <c r="G20" s="33"/>
      <c r="H20" s="32"/>
      <c r="I20" s="33"/>
      <c r="J20" s="32"/>
      <c r="K20" s="33"/>
      <c r="L20" s="34"/>
      <c r="M20" s="35"/>
      <c r="N20" s="34"/>
      <c r="O20" s="35"/>
      <c r="P20" s="34"/>
      <c r="Q20" s="35"/>
      <c r="R20" s="34"/>
      <c r="S20" s="35"/>
      <c r="T20" s="34"/>
      <c r="U20" s="35"/>
    </row>
    <row r="21" spans="1:21" s="31" customFormat="1" ht="15.75">
      <c r="A21" s="31" t="s">
        <v>391</v>
      </c>
      <c r="B21" s="899">
        <v>1</v>
      </c>
      <c r="C21" s="33" t="e">
        <f>C31*80%</f>
        <v>#DIV/0!</v>
      </c>
      <c r="D21" s="32">
        <f>Table41[[#This Row],[Column2]]</f>
        <v>1</v>
      </c>
      <c r="E21" s="33" t="e">
        <f>E31*80%</f>
        <v>#DIV/0!</v>
      </c>
      <c r="F21" s="32">
        <f>Table41[[#This Row],[Column2]]</f>
        <v>1</v>
      </c>
      <c r="G21" s="33" t="e">
        <f>G31*80%</f>
        <v>#DIV/0!</v>
      </c>
      <c r="H21" s="32">
        <f>Table41[[#This Row],[Column2]]</f>
        <v>1</v>
      </c>
      <c r="I21" s="33" t="e">
        <f>I31*80%</f>
        <v>#DIV/0!</v>
      </c>
      <c r="J21" s="32">
        <f>Table41[[#This Row],[Column2]]</f>
        <v>1</v>
      </c>
      <c r="K21" s="33" t="e">
        <f>K31*80%</f>
        <v>#DIV/0!</v>
      </c>
      <c r="L21" s="34">
        <f>Table41[[#This Row],[Column10]]</f>
        <v>1</v>
      </c>
      <c r="M21" s="35" t="e">
        <f>M31*80%</f>
        <v>#DIV/0!</v>
      </c>
      <c r="N21" s="34">
        <f>Table41[[#This Row],[Column2]]</f>
        <v>1</v>
      </c>
      <c r="O21" s="35" t="e">
        <f>O31*80%</f>
        <v>#DIV/0!</v>
      </c>
      <c r="P21" s="34">
        <f>Table41[[#This Row],[Column4]]</f>
        <v>1</v>
      </c>
      <c r="Q21" s="35" t="e">
        <f>Q31*80%</f>
        <v>#DIV/0!</v>
      </c>
      <c r="R21" s="34">
        <f>Table41[[#This Row],[Column6]]</f>
        <v>1</v>
      </c>
      <c r="S21" s="35" t="e">
        <f>S31*80%</f>
        <v>#DIV/0!</v>
      </c>
      <c r="T21" s="34">
        <f>Table41[[#This Row],[Column8]]</f>
        <v>1</v>
      </c>
      <c r="U21" s="35" t="e">
        <f>U31*80%</f>
        <v>#DIV/0!</v>
      </c>
    </row>
    <row r="22" spans="1:21">
      <c r="A22" s="18" t="s">
        <v>392</v>
      </c>
      <c r="B22" s="898">
        <v>0.28000000000000003</v>
      </c>
      <c r="C22" s="20" t="e">
        <f>C21*Table41[[#This Row],[Column2]]</f>
        <v>#DIV/0!</v>
      </c>
      <c r="D22" s="19">
        <f>Table41[[#This Row],[Column2]]</f>
        <v>0.28000000000000003</v>
      </c>
      <c r="E22" s="20" t="e">
        <f>E21*Table41[[#This Row],[Column2]]</f>
        <v>#DIV/0!</v>
      </c>
      <c r="F22" s="19">
        <f>Table41[[#This Row],[Column2]]</f>
        <v>0.28000000000000003</v>
      </c>
      <c r="G22" s="20" t="e">
        <f>G21*Table41[[#This Row],[Column2]]</f>
        <v>#DIV/0!</v>
      </c>
      <c r="H22" s="19">
        <f>Table41[[#This Row],[Column2]]</f>
        <v>0.28000000000000003</v>
      </c>
      <c r="I22" s="20" t="e">
        <f>I21*Table41[[#This Row],[Column2]]</f>
        <v>#DIV/0!</v>
      </c>
      <c r="J22" s="19">
        <f>Table41[[#This Row],[Column2]]</f>
        <v>0.28000000000000003</v>
      </c>
      <c r="K22" s="20" t="e">
        <f>K$21*Table41[[#This Row],[Column2]]</f>
        <v>#DIV/0!</v>
      </c>
      <c r="L22" s="37">
        <f>Table41[[#This Row],[Column10]]</f>
        <v>0.28000000000000003</v>
      </c>
      <c r="M22" s="38" t="e">
        <f>M$21*Table41[[#This Row],[Column2]]</f>
        <v>#DIV/0!</v>
      </c>
      <c r="N22" s="37">
        <f>Table41[[#This Row],[Column2]]</f>
        <v>0.28000000000000003</v>
      </c>
      <c r="O22" s="38" t="e">
        <f>O$21*Table41[[#This Row],[Column2]]</f>
        <v>#DIV/0!</v>
      </c>
      <c r="P22" s="37">
        <f>Table41[[#This Row],[Column4]]</f>
        <v>0.28000000000000003</v>
      </c>
      <c r="Q22" s="38" t="e">
        <f>Q$21*Table41[[#This Row],[Column2]]</f>
        <v>#DIV/0!</v>
      </c>
      <c r="R22" s="37">
        <f>Table41[[#This Row],[Column6]]</f>
        <v>0.28000000000000003</v>
      </c>
      <c r="S22" s="38" t="e">
        <f>S$21*Table41[[#This Row],[Column2]]</f>
        <v>#DIV/0!</v>
      </c>
      <c r="T22" s="37">
        <f>Table41[[#This Row],[Column8]]</f>
        <v>0.28000000000000003</v>
      </c>
      <c r="U22" s="38" t="e">
        <f>U$21*Table41[[#This Row],[Column2]]</f>
        <v>#DIV/0!</v>
      </c>
    </row>
    <row r="23" spans="1:21">
      <c r="A23" s="18" t="s">
        <v>393</v>
      </c>
      <c r="B23" s="898">
        <v>0.02</v>
      </c>
      <c r="C23" s="20" t="e">
        <f>Table41[[#This Row],[Column2]]*C21</f>
        <v>#DIV/0!</v>
      </c>
      <c r="D23" s="19">
        <f>Table41[[#This Row],[Column2]]</f>
        <v>0.02</v>
      </c>
      <c r="E23" s="20" t="e">
        <f>Table41[[#This Row],[Column2]]*E21</f>
        <v>#DIV/0!</v>
      </c>
      <c r="F23" s="19">
        <f>Table41[[#This Row],[Column2]]</f>
        <v>0.02</v>
      </c>
      <c r="G23" s="20" t="e">
        <f>Table41[[#This Row],[Column2]]*G21</f>
        <v>#DIV/0!</v>
      </c>
      <c r="H23" s="19">
        <f>Table41[[#This Row],[Column2]]</f>
        <v>0.02</v>
      </c>
      <c r="I23" s="20" t="e">
        <f>Table41[[#This Row],[Column2]]*I21</f>
        <v>#DIV/0!</v>
      </c>
      <c r="J23" s="19">
        <f>Table41[[#This Row],[Column2]]</f>
        <v>0.02</v>
      </c>
      <c r="K23" s="20" t="e">
        <f>Table41[[#This Row],[Column2]]*K21</f>
        <v>#DIV/0!</v>
      </c>
      <c r="L23" s="37">
        <f>Table41[[#This Row],[Column10]]</f>
        <v>0.02</v>
      </c>
      <c r="M23" s="38" t="e">
        <f>M$21*Table41[[#This Row],[Column2]]</f>
        <v>#DIV/0!</v>
      </c>
      <c r="N23" s="37">
        <f>Table41[[#This Row],[Column2]]</f>
        <v>0.02</v>
      </c>
      <c r="O23" s="38" t="e">
        <f>O$21*Table41[[#This Row],[Column2]]</f>
        <v>#DIV/0!</v>
      </c>
      <c r="P23" s="37">
        <f>Table41[[#This Row],[Column4]]</f>
        <v>0.02</v>
      </c>
      <c r="Q23" s="38" t="e">
        <f>Q$21*Table41[[#This Row],[Column2]]</f>
        <v>#DIV/0!</v>
      </c>
      <c r="R23" s="37">
        <f>Table41[[#This Row],[Column6]]</f>
        <v>0.02</v>
      </c>
      <c r="S23" s="38" t="e">
        <f>S$21*Table41[[#This Row],[Column2]]</f>
        <v>#DIV/0!</v>
      </c>
      <c r="T23" s="37">
        <f>Table41[[#This Row],[Column8]]</f>
        <v>0.02</v>
      </c>
      <c r="U23" s="38" t="e">
        <f>U$21*Table41[[#This Row],[Column2]]</f>
        <v>#DIV/0!</v>
      </c>
    </row>
    <row r="24" spans="1:21" s="31" customFormat="1" ht="15.75">
      <c r="A24" s="31" t="s">
        <v>394</v>
      </c>
      <c r="B24" s="32">
        <f>SUBTOTAL(109,B22:B23)</f>
        <v>0.30000000000000004</v>
      </c>
      <c r="C24" s="33" t="e">
        <f t="shared" ref="C24:U24" si="2">SUBTOTAL(109,C22:C23)</f>
        <v>#DIV/0!</v>
      </c>
      <c r="D24" s="32">
        <f t="shared" si="2"/>
        <v>0.30000000000000004</v>
      </c>
      <c r="E24" s="33" t="e">
        <f t="shared" si="2"/>
        <v>#DIV/0!</v>
      </c>
      <c r="F24" s="32">
        <f t="shared" si="2"/>
        <v>0.30000000000000004</v>
      </c>
      <c r="G24" s="33" t="e">
        <f t="shared" si="2"/>
        <v>#DIV/0!</v>
      </c>
      <c r="H24" s="32">
        <f t="shared" si="2"/>
        <v>0.30000000000000004</v>
      </c>
      <c r="I24" s="33" t="e">
        <f t="shared" si="2"/>
        <v>#DIV/0!</v>
      </c>
      <c r="J24" s="32">
        <f t="shared" si="2"/>
        <v>0.30000000000000004</v>
      </c>
      <c r="K24" s="33" t="e">
        <f t="shared" si="2"/>
        <v>#DIV/0!</v>
      </c>
      <c r="L24" s="34">
        <f t="shared" si="2"/>
        <v>0.30000000000000004</v>
      </c>
      <c r="M24" s="35" t="e">
        <f t="shared" si="2"/>
        <v>#DIV/0!</v>
      </c>
      <c r="N24" s="34">
        <f t="shared" si="2"/>
        <v>0.30000000000000004</v>
      </c>
      <c r="O24" s="35" t="e">
        <f t="shared" si="2"/>
        <v>#DIV/0!</v>
      </c>
      <c r="P24" s="34">
        <f t="shared" si="2"/>
        <v>0.30000000000000004</v>
      </c>
      <c r="Q24" s="35" t="e">
        <f t="shared" si="2"/>
        <v>#DIV/0!</v>
      </c>
      <c r="R24" s="34">
        <f t="shared" si="2"/>
        <v>0.30000000000000004</v>
      </c>
      <c r="S24" s="35" t="e">
        <f t="shared" si="2"/>
        <v>#DIV/0!</v>
      </c>
      <c r="T24" s="34">
        <f t="shared" si="2"/>
        <v>0.30000000000000004</v>
      </c>
      <c r="U24" s="35" t="e">
        <f t="shared" si="2"/>
        <v>#DIV/0!</v>
      </c>
    </row>
    <row r="25" spans="1:21" s="31" customFormat="1" ht="16.5" thickBot="1">
      <c r="A25" s="565" t="s">
        <v>395</v>
      </c>
      <c r="B25" s="567">
        <f>B21-B24</f>
        <v>0.7</v>
      </c>
      <c r="C25" s="566" t="e">
        <f t="shared" ref="C25:U25" si="3">C21-C24</f>
        <v>#DIV/0!</v>
      </c>
      <c r="D25" s="567">
        <f t="shared" si="3"/>
        <v>0.7</v>
      </c>
      <c r="E25" s="566" t="e">
        <f t="shared" si="3"/>
        <v>#DIV/0!</v>
      </c>
      <c r="F25" s="567">
        <f t="shared" si="3"/>
        <v>0.7</v>
      </c>
      <c r="G25" s="566" t="e">
        <f t="shared" si="3"/>
        <v>#DIV/0!</v>
      </c>
      <c r="H25" s="567">
        <f t="shared" si="3"/>
        <v>0.7</v>
      </c>
      <c r="I25" s="566" t="e">
        <f t="shared" si="3"/>
        <v>#DIV/0!</v>
      </c>
      <c r="J25" s="567">
        <f t="shared" si="3"/>
        <v>0.7</v>
      </c>
      <c r="K25" s="568" t="e">
        <f t="shared" si="3"/>
        <v>#DIV/0!</v>
      </c>
      <c r="L25" s="34">
        <f t="shared" si="3"/>
        <v>0.7</v>
      </c>
      <c r="M25" s="35" t="e">
        <f t="shared" si="3"/>
        <v>#DIV/0!</v>
      </c>
      <c r="N25" s="34">
        <f t="shared" si="3"/>
        <v>0.7</v>
      </c>
      <c r="O25" s="35" t="e">
        <f t="shared" si="3"/>
        <v>#DIV/0!</v>
      </c>
      <c r="P25" s="34">
        <f t="shared" si="3"/>
        <v>0.7</v>
      </c>
      <c r="Q25" s="35" t="e">
        <f t="shared" si="3"/>
        <v>#DIV/0!</v>
      </c>
      <c r="R25" s="34">
        <f t="shared" si="3"/>
        <v>0.7</v>
      </c>
      <c r="S25" s="35" t="e">
        <f t="shared" si="3"/>
        <v>#DIV/0!</v>
      </c>
      <c r="T25" s="34">
        <f t="shared" si="3"/>
        <v>0.7</v>
      </c>
      <c r="U25" s="35" t="e">
        <f t="shared" si="3"/>
        <v>#DIV/0!</v>
      </c>
    </row>
    <row r="26" spans="1:21" s="31" customFormat="1" ht="16.5" thickTop="1">
      <c r="B26" s="32"/>
      <c r="C26" s="33"/>
      <c r="D26" s="32"/>
      <c r="E26" s="33"/>
      <c r="F26" s="32"/>
      <c r="G26" s="33"/>
      <c r="H26" s="32"/>
      <c r="I26" s="33"/>
      <c r="J26" s="32"/>
      <c r="K26" s="33"/>
      <c r="L26" s="34"/>
      <c r="M26" s="35"/>
      <c r="N26" s="34"/>
      <c r="O26" s="35"/>
      <c r="P26" s="34"/>
      <c r="Q26" s="35"/>
      <c r="R26" s="34"/>
      <c r="S26" s="35"/>
      <c r="T26" s="34"/>
      <c r="U26" s="35"/>
    </row>
    <row r="27" spans="1:21" s="31" customFormat="1" ht="15.75">
      <c r="A27" s="31" t="s">
        <v>396</v>
      </c>
      <c r="B27" s="899">
        <v>1</v>
      </c>
      <c r="C27" s="33" t="e">
        <f>C31*20%</f>
        <v>#DIV/0!</v>
      </c>
      <c r="D27" s="32">
        <f>Table41[[#This Row],[Column2]]</f>
        <v>1</v>
      </c>
      <c r="E27" s="33" t="e">
        <f>E31*20%</f>
        <v>#DIV/0!</v>
      </c>
      <c r="F27" s="32">
        <f>Table41[[#This Row],[Column2]]</f>
        <v>1</v>
      </c>
      <c r="G27" s="33" t="e">
        <f>G31*20%</f>
        <v>#DIV/0!</v>
      </c>
      <c r="H27" s="32">
        <f>Table41[[#This Row],[Column2]]</f>
        <v>1</v>
      </c>
      <c r="I27" s="33" t="e">
        <f>I31*20%</f>
        <v>#DIV/0!</v>
      </c>
      <c r="J27" s="32">
        <f>Table41[[#This Row],[Column2]]</f>
        <v>1</v>
      </c>
      <c r="K27" s="33" t="e">
        <f>K$31*20%</f>
        <v>#DIV/0!</v>
      </c>
      <c r="L27" s="34">
        <f>Table41[[#This Row],[Column10]]</f>
        <v>1</v>
      </c>
      <c r="M27" s="35" t="e">
        <f>M$31*20%</f>
        <v>#DIV/0!</v>
      </c>
      <c r="N27" s="34">
        <f>Table41[[#This Row],[Column2]]</f>
        <v>1</v>
      </c>
      <c r="O27" s="35" t="e">
        <f>O$31*20%</f>
        <v>#DIV/0!</v>
      </c>
      <c r="P27" s="34">
        <f>Table41[[#This Row],[Column4]]</f>
        <v>1</v>
      </c>
      <c r="Q27" s="35" t="e">
        <f>Q$31*20%</f>
        <v>#DIV/0!</v>
      </c>
      <c r="R27" s="34">
        <f>Table41[[#This Row],[Column6]]</f>
        <v>1</v>
      </c>
      <c r="S27" s="35" t="e">
        <f>S$31*20%</f>
        <v>#DIV/0!</v>
      </c>
      <c r="T27" s="34">
        <f>Table41[[#This Row],[Column8]]</f>
        <v>1</v>
      </c>
      <c r="U27" s="35" t="e">
        <f>U$31*20%</f>
        <v>#DIV/0!</v>
      </c>
    </row>
    <row r="28" spans="1:21">
      <c r="A28" s="18" t="s">
        <v>397</v>
      </c>
      <c r="B28" s="898">
        <v>0.25</v>
      </c>
      <c r="C28" s="20" t="e">
        <f>Table41[[#This Row],[Column2]]*C27</f>
        <v>#DIV/0!</v>
      </c>
      <c r="D28" s="19">
        <f>Table41[[#This Row],[Column2]]</f>
        <v>0.25</v>
      </c>
      <c r="E28" s="20" t="e">
        <f>Table41[[#This Row],[Column2]]*E27</f>
        <v>#DIV/0!</v>
      </c>
      <c r="F28" s="19">
        <f>Table41[[#This Row],[Column2]]</f>
        <v>0.25</v>
      </c>
      <c r="G28" s="20" t="e">
        <f>Table41[[#This Row],[Column2]]*G27</f>
        <v>#DIV/0!</v>
      </c>
      <c r="H28" s="19">
        <f>Table41[[#This Row],[Column2]]</f>
        <v>0.25</v>
      </c>
      <c r="I28" s="20" t="e">
        <f>Table41[[#This Row],[Column2]]*I27</f>
        <v>#DIV/0!</v>
      </c>
      <c r="J28" s="19">
        <f>Table41[[#This Row],[Column2]]</f>
        <v>0.25</v>
      </c>
      <c r="K28" s="20" t="e">
        <f>Table41[[#This Row],[Column2]]*K$27</f>
        <v>#DIV/0!</v>
      </c>
      <c r="L28" s="37">
        <f>Table41[[#This Row],[Column10]]</f>
        <v>0.25</v>
      </c>
      <c r="M28" s="38" t="e">
        <f>Table41[[#This Row],[Column2]]*M$27</f>
        <v>#DIV/0!</v>
      </c>
      <c r="N28" s="37">
        <f>Table41[[#This Row],[Column2]]</f>
        <v>0.25</v>
      </c>
      <c r="O28" s="38" t="e">
        <f>Table41[[#This Row],[Column2]]*O$27</f>
        <v>#DIV/0!</v>
      </c>
      <c r="P28" s="37">
        <f>Table41[[#This Row],[Column4]]</f>
        <v>0.25</v>
      </c>
      <c r="Q28" s="38" t="e">
        <f>Table41[[#This Row],[Column2]]*Q$27</f>
        <v>#DIV/0!</v>
      </c>
      <c r="R28" s="37">
        <f>Table41[[#This Row],[Column6]]</f>
        <v>0.25</v>
      </c>
      <c r="S28" s="38" t="e">
        <f>Table41[[#This Row],[Column2]]*S$27</f>
        <v>#DIV/0!</v>
      </c>
      <c r="T28" s="37">
        <f>Table41[[#This Row],[Column8]]</f>
        <v>0.25</v>
      </c>
      <c r="U28" s="38" t="e">
        <f>Table41[[#This Row],[Column2]]*U$27</f>
        <v>#DIV/0!</v>
      </c>
    </row>
    <row r="29" spans="1:21" s="31" customFormat="1" ht="16.5" thickBot="1">
      <c r="A29" s="565" t="s">
        <v>398</v>
      </c>
      <c r="B29" s="567">
        <f>B27-B28</f>
        <v>0.75</v>
      </c>
      <c r="C29" s="566" t="e">
        <f t="shared" ref="C29:U29" si="4">C27-C28</f>
        <v>#DIV/0!</v>
      </c>
      <c r="D29" s="567">
        <f t="shared" si="4"/>
        <v>0.75</v>
      </c>
      <c r="E29" s="566" t="e">
        <f t="shared" si="4"/>
        <v>#DIV/0!</v>
      </c>
      <c r="F29" s="567">
        <f t="shared" si="4"/>
        <v>0.75</v>
      </c>
      <c r="G29" s="566" t="e">
        <f t="shared" si="4"/>
        <v>#DIV/0!</v>
      </c>
      <c r="H29" s="567">
        <f t="shared" si="4"/>
        <v>0.75</v>
      </c>
      <c r="I29" s="566" t="e">
        <f t="shared" si="4"/>
        <v>#DIV/0!</v>
      </c>
      <c r="J29" s="567">
        <f t="shared" si="4"/>
        <v>0.75</v>
      </c>
      <c r="K29" s="568" t="e">
        <f t="shared" si="4"/>
        <v>#DIV/0!</v>
      </c>
      <c r="L29" s="34">
        <f t="shared" si="4"/>
        <v>0.75</v>
      </c>
      <c r="M29" s="35" t="e">
        <f t="shared" si="4"/>
        <v>#DIV/0!</v>
      </c>
      <c r="N29" s="34">
        <f t="shared" si="4"/>
        <v>0.75</v>
      </c>
      <c r="O29" s="35" t="e">
        <f t="shared" si="4"/>
        <v>#DIV/0!</v>
      </c>
      <c r="P29" s="34">
        <f t="shared" si="4"/>
        <v>0.75</v>
      </c>
      <c r="Q29" s="35" t="e">
        <f t="shared" si="4"/>
        <v>#DIV/0!</v>
      </c>
      <c r="R29" s="34">
        <f t="shared" si="4"/>
        <v>0.75</v>
      </c>
      <c r="S29" s="35" t="e">
        <f t="shared" si="4"/>
        <v>#DIV/0!</v>
      </c>
      <c r="T29" s="34">
        <f t="shared" si="4"/>
        <v>0.75</v>
      </c>
      <c r="U29" s="35" t="e">
        <f t="shared" si="4"/>
        <v>#DIV/0!</v>
      </c>
    </row>
    <row r="30" spans="1:21" s="31" customFormat="1" ht="16.5" thickTop="1">
      <c r="B30" s="32"/>
      <c r="C30" s="33"/>
      <c r="D30" s="32"/>
      <c r="E30" s="33"/>
      <c r="F30" s="32"/>
      <c r="G30" s="33"/>
      <c r="H30" s="32"/>
      <c r="I30" s="33"/>
      <c r="J30" s="32"/>
      <c r="K30" s="33"/>
      <c r="L30" s="34"/>
      <c r="M30" s="35"/>
      <c r="N30" s="34"/>
      <c r="O30" s="35"/>
      <c r="P30" s="34"/>
      <c r="Q30" s="35"/>
      <c r="R30" s="34"/>
      <c r="S30" s="35"/>
      <c r="T30" s="34"/>
      <c r="U30" s="35"/>
    </row>
    <row r="31" spans="1:21" s="31" customFormat="1" ht="16.5" thickBot="1">
      <c r="A31" s="565" t="s">
        <v>399</v>
      </c>
      <c r="B31" s="897">
        <v>1</v>
      </c>
      <c r="C31" s="566" t="e">
        <f>'17'!B12</f>
        <v>#DIV/0!</v>
      </c>
      <c r="D31" s="567">
        <f>Table41[[#This Row],[Column2]]</f>
        <v>1</v>
      </c>
      <c r="E31" s="566" t="e">
        <f>'17'!C12</f>
        <v>#DIV/0!</v>
      </c>
      <c r="F31" s="567">
        <f>Table41[[#This Row],[Column4]]</f>
        <v>1</v>
      </c>
      <c r="G31" s="566" t="e">
        <f>'17'!D12</f>
        <v>#DIV/0!</v>
      </c>
      <c r="H31" s="567">
        <f>Table41[[#This Row],[Column6]]</f>
        <v>1</v>
      </c>
      <c r="I31" s="566" t="e">
        <f>'17'!E12</f>
        <v>#DIV/0!</v>
      </c>
      <c r="J31" s="567">
        <f>Table41[[#This Row],[Column8]]</f>
        <v>1</v>
      </c>
      <c r="K31" s="568" t="e">
        <f>'17'!F12</f>
        <v>#DIV/0!</v>
      </c>
      <c r="L31" s="34">
        <f>Table41[[#This Row],[Column10]]</f>
        <v>1</v>
      </c>
      <c r="M31" s="35" t="e">
        <f>'17'!G12</f>
        <v>#DIV/0!</v>
      </c>
      <c r="N31" s="34">
        <f>Table41[[#This Row],[Column2]]</f>
        <v>1</v>
      </c>
      <c r="O31" s="35" t="e">
        <f>'17'!H12</f>
        <v>#DIV/0!</v>
      </c>
      <c r="P31" s="34">
        <f>Table41[[#This Row],[Column4]]</f>
        <v>1</v>
      </c>
      <c r="Q31" s="35" t="e">
        <f>'17'!I12</f>
        <v>#DIV/0!</v>
      </c>
      <c r="R31" s="34">
        <f>Table41[[#This Row],[Column6]]</f>
        <v>1</v>
      </c>
      <c r="S31" s="35" t="e">
        <f>'17'!J12</f>
        <v>#DIV/0!</v>
      </c>
      <c r="T31" s="34">
        <f>Table41[[#This Row],[Column8]]</f>
        <v>1</v>
      </c>
      <c r="U31" s="35" t="e">
        <f>'17'!K12</f>
        <v>#DIV/0!</v>
      </c>
    </row>
    <row r="32" spans="1:21" s="31" customFormat="1" ht="16.5" thickTop="1">
      <c r="A32" s="18" t="s">
        <v>400</v>
      </c>
      <c r="B32" s="19" t="e">
        <f>Table41[[#This Row],[Column3]]/C31</f>
        <v>#DIV/0!</v>
      </c>
      <c r="C32" s="20" t="e">
        <f>C24+C28</f>
        <v>#DIV/0!</v>
      </c>
      <c r="D32" s="19" t="e">
        <f>Table41[[#This Row],[Column5]]/E31</f>
        <v>#DIV/0!</v>
      </c>
      <c r="E32" s="20" t="e">
        <f>E24+E28</f>
        <v>#DIV/0!</v>
      </c>
      <c r="F32" s="19" t="e">
        <f>Table41[[#This Row],[Column7]]/G31</f>
        <v>#DIV/0!</v>
      </c>
      <c r="G32" s="20" t="e">
        <f>G24+G28</f>
        <v>#DIV/0!</v>
      </c>
      <c r="H32" s="19" t="e">
        <f>Table41[[#This Row],[Column9]]/I31</f>
        <v>#DIV/0!</v>
      </c>
      <c r="I32" s="20" t="e">
        <f>I24+I28</f>
        <v>#DIV/0!</v>
      </c>
      <c r="J32" s="19" t="e">
        <f>Table41[[#This Row],[Column11]]/K31</f>
        <v>#DIV/0!</v>
      </c>
      <c r="K32" s="20" t="e">
        <f>K24+K28</f>
        <v>#DIV/0!</v>
      </c>
      <c r="L32" s="34" t="e">
        <f>Table41[[#This Row],[Column10]]</f>
        <v>#DIV/0!</v>
      </c>
      <c r="M32" s="35" t="e">
        <f>M24+M28</f>
        <v>#DIV/0!</v>
      </c>
      <c r="N32" s="34" t="e">
        <f>Table41[[#This Row],[Column2]]</f>
        <v>#DIV/0!</v>
      </c>
      <c r="O32" s="35" t="e">
        <f>O24+O28</f>
        <v>#DIV/0!</v>
      </c>
      <c r="P32" s="34" t="e">
        <f>Table41[[#This Row],[Column4]]</f>
        <v>#DIV/0!</v>
      </c>
      <c r="Q32" s="35" t="e">
        <f>Q24+Q28</f>
        <v>#DIV/0!</v>
      </c>
      <c r="R32" s="34" t="e">
        <f>Table41[[#This Row],[Column6]]</f>
        <v>#DIV/0!</v>
      </c>
      <c r="S32" s="35" t="e">
        <f>S24+S28</f>
        <v>#DIV/0!</v>
      </c>
      <c r="T32" s="34" t="e">
        <f>Table41[[#This Row],[Column8]]</f>
        <v>#DIV/0!</v>
      </c>
      <c r="U32" s="35" t="e">
        <f>U24+U28</f>
        <v>#DIV/0!</v>
      </c>
    </row>
    <row r="33" spans="1:21" s="31" customFormat="1" ht="16.5" thickBot="1">
      <c r="A33" s="565" t="s">
        <v>401</v>
      </c>
      <c r="B33" s="567" t="e">
        <f>B31-B32</f>
        <v>#DIV/0!</v>
      </c>
      <c r="C33" s="566" t="e">
        <f t="shared" ref="C33:U33" si="5">C31-C32</f>
        <v>#DIV/0!</v>
      </c>
      <c r="D33" s="567" t="e">
        <f t="shared" si="5"/>
        <v>#DIV/0!</v>
      </c>
      <c r="E33" s="566" t="e">
        <f t="shared" si="5"/>
        <v>#DIV/0!</v>
      </c>
      <c r="F33" s="567" t="e">
        <f t="shared" si="5"/>
        <v>#DIV/0!</v>
      </c>
      <c r="G33" s="566" t="e">
        <f t="shared" si="5"/>
        <v>#DIV/0!</v>
      </c>
      <c r="H33" s="567" t="e">
        <f t="shared" si="5"/>
        <v>#DIV/0!</v>
      </c>
      <c r="I33" s="566" t="e">
        <f t="shared" si="5"/>
        <v>#DIV/0!</v>
      </c>
      <c r="J33" s="567" t="e">
        <f t="shared" si="5"/>
        <v>#DIV/0!</v>
      </c>
      <c r="K33" s="568" t="e">
        <f t="shared" si="5"/>
        <v>#DIV/0!</v>
      </c>
      <c r="L33" s="34" t="e">
        <f t="shared" si="5"/>
        <v>#DIV/0!</v>
      </c>
      <c r="M33" s="35" t="e">
        <f t="shared" si="5"/>
        <v>#DIV/0!</v>
      </c>
      <c r="N33" s="34" t="e">
        <f t="shared" si="5"/>
        <v>#DIV/0!</v>
      </c>
      <c r="O33" s="35" t="e">
        <f t="shared" si="5"/>
        <v>#DIV/0!</v>
      </c>
      <c r="P33" s="34" t="e">
        <f t="shared" si="5"/>
        <v>#DIV/0!</v>
      </c>
      <c r="Q33" s="35" t="e">
        <f t="shared" si="5"/>
        <v>#DIV/0!</v>
      </c>
      <c r="R33" s="34" t="e">
        <f t="shared" si="5"/>
        <v>#DIV/0!</v>
      </c>
      <c r="S33" s="35" t="e">
        <f t="shared" si="5"/>
        <v>#DIV/0!</v>
      </c>
      <c r="T33" s="34" t="e">
        <f t="shared" si="5"/>
        <v>#DIV/0!</v>
      </c>
      <c r="U33" s="35" t="e">
        <f t="shared" si="5"/>
        <v>#DIV/0!</v>
      </c>
    </row>
    <row r="34" spans="1:21" s="31" customFormat="1" ht="16.5" thickTop="1">
      <c r="B34" s="32"/>
      <c r="C34" s="33"/>
      <c r="D34" s="32"/>
      <c r="E34" s="33"/>
      <c r="F34" s="32"/>
      <c r="G34" s="33"/>
      <c r="H34" s="32"/>
      <c r="I34" s="33"/>
      <c r="J34" s="32"/>
      <c r="K34" s="33"/>
      <c r="L34" s="34"/>
      <c r="M34" s="35"/>
      <c r="N34" s="34"/>
      <c r="O34" s="35"/>
      <c r="P34" s="34"/>
      <c r="Q34" s="35"/>
      <c r="R34" s="34"/>
      <c r="S34" s="35"/>
      <c r="T34" s="34"/>
      <c r="U34" s="35"/>
    </row>
    <row r="35" spans="1:21" s="31" customFormat="1" ht="15.75">
      <c r="A35" s="31" t="s">
        <v>402</v>
      </c>
      <c r="B35" s="32"/>
      <c r="C35" s="33"/>
      <c r="D35" s="32"/>
      <c r="E35" s="33"/>
      <c r="F35" s="32"/>
      <c r="G35" s="33"/>
      <c r="H35" s="32"/>
      <c r="I35" s="33"/>
      <c r="J35" s="32"/>
      <c r="K35" s="33"/>
      <c r="L35" s="34"/>
      <c r="M35" s="35"/>
      <c r="N35" s="34"/>
      <c r="O35" s="35"/>
      <c r="P35" s="34"/>
      <c r="Q35" s="35"/>
      <c r="R35" s="34"/>
      <c r="S35" s="35"/>
      <c r="T35" s="34"/>
      <c r="U35" s="35"/>
    </row>
    <row r="36" spans="1:21">
      <c r="A36" s="18" t="s">
        <v>380</v>
      </c>
      <c r="B36" s="19" t="e">
        <f>Table41[[#This Row],[Column3]]/C31</f>
        <v>#DIV/0!</v>
      </c>
      <c r="C36" s="20">
        <f>'21'!E7</f>
        <v>0</v>
      </c>
      <c r="D36" s="19" t="e">
        <f>Table41[[#This Row],[Column5]]/E31</f>
        <v>#DIV/0!</v>
      </c>
      <c r="E36" s="20">
        <f>'21'!F7</f>
        <v>0</v>
      </c>
      <c r="F36" s="19" t="e">
        <f>Table41[[#This Row],[Column7]]/G31</f>
        <v>#DIV/0!</v>
      </c>
      <c r="G36" s="20">
        <f>'21'!G7</f>
        <v>0</v>
      </c>
      <c r="H36" s="19" t="e">
        <f>Table41[[#This Row],[Column9]]/I31</f>
        <v>#DIV/0!</v>
      </c>
      <c r="I36" s="20">
        <f>'21'!H7</f>
        <v>0</v>
      </c>
      <c r="J36" s="19" t="e">
        <f>Table41[[#This Row],[Column11]]/K$31</f>
        <v>#DIV/0!</v>
      </c>
      <c r="K36" s="20">
        <f>'21'!I7</f>
        <v>0</v>
      </c>
      <c r="L36" s="37" t="e">
        <f>Table41[[#This Row],[Column11]]/M$31</f>
        <v>#DIV/0!</v>
      </c>
      <c r="M36" s="38">
        <f>'21'!J7</f>
        <v>0</v>
      </c>
      <c r="N36" s="37" t="e">
        <f>Table41[[#This Row],[Column11]]/O$31</f>
        <v>#DIV/0!</v>
      </c>
      <c r="O36" s="38">
        <f>'21'!K7</f>
        <v>0</v>
      </c>
      <c r="P36" s="37" t="e">
        <f>Table41[[#This Row],[Column11]]/Q$31</f>
        <v>#DIV/0!</v>
      </c>
      <c r="Q36" s="38">
        <f>'21'!L7</f>
        <v>0</v>
      </c>
      <c r="R36" s="37" t="e">
        <f>Table41[[#This Row],[Column11]]/S$31</f>
        <v>#DIV/0!</v>
      </c>
      <c r="S36" s="38">
        <f>'21'!M7</f>
        <v>0</v>
      </c>
      <c r="T36" s="37" t="e">
        <f>Table41[[#This Row],[Column11]]/U$31</f>
        <v>#DIV/0!</v>
      </c>
      <c r="U36" s="38">
        <f>'21'!N7</f>
        <v>0</v>
      </c>
    </row>
    <row r="37" spans="1:21">
      <c r="A37" s="18" t="s">
        <v>403</v>
      </c>
      <c r="B37" s="898">
        <v>3.0000000000000001E-3</v>
      </c>
      <c r="C37" s="20" t="e">
        <f>Table41[[#This Row],[Column2]]*C$31</f>
        <v>#DIV/0!</v>
      </c>
      <c r="D37" s="19">
        <f>Table41[[#This Row],[Column2]]</f>
        <v>3.0000000000000001E-3</v>
      </c>
      <c r="E37" s="20" t="e">
        <f>Table41[[#This Row],[Column2]]*E$31</f>
        <v>#DIV/0!</v>
      </c>
      <c r="F37" s="19">
        <f>Table41[[#This Row],[Column4]]</f>
        <v>3.0000000000000001E-3</v>
      </c>
      <c r="G37" s="20" t="e">
        <f>Table41[[#This Row],[Column2]]*G$31</f>
        <v>#DIV/0!</v>
      </c>
      <c r="H37" s="19">
        <f>Table41[[#This Row],[Column6]]</f>
        <v>3.0000000000000001E-3</v>
      </c>
      <c r="I37" s="20" t="e">
        <f>Table41[[#This Row],[Column2]]*I$31</f>
        <v>#DIV/0!</v>
      </c>
      <c r="J37" s="19">
        <f>Table41[[#This Row],[Column8]]</f>
        <v>3.0000000000000001E-3</v>
      </c>
      <c r="K37" s="20" t="e">
        <f>Table41[[#This Row],[Column2]]*K$31</f>
        <v>#DIV/0!</v>
      </c>
      <c r="L37" s="37">
        <f>Table41[[#This Row],[Column10]]</f>
        <v>3.0000000000000001E-3</v>
      </c>
      <c r="M37" s="38" t="e">
        <f>Table41[[#This Row],[Column2]]*M$31</f>
        <v>#DIV/0!</v>
      </c>
      <c r="N37" s="37">
        <f>Table41[[#This Row],[Column2]]</f>
        <v>3.0000000000000001E-3</v>
      </c>
      <c r="O37" s="38" t="e">
        <f>Table41[[#This Row],[Column2]]*O$31</f>
        <v>#DIV/0!</v>
      </c>
      <c r="P37" s="37">
        <f>Table41[[#This Row],[Column4]]</f>
        <v>3.0000000000000001E-3</v>
      </c>
      <c r="Q37" s="38" t="e">
        <f>Table41[[#This Row],[Column2]]*Q$31</f>
        <v>#DIV/0!</v>
      </c>
      <c r="R37" s="37">
        <f>Table41[[#This Row],[Column6]]</f>
        <v>3.0000000000000001E-3</v>
      </c>
      <c r="S37" s="38" t="e">
        <f>Table41[[#This Row],[Column2]]*S$31</f>
        <v>#DIV/0!</v>
      </c>
      <c r="T37" s="37">
        <f>Table41[[#This Row],[Column8]]</f>
        <v>3.0000000000000001E-3</v>
      </c>
      <c r="U37" s="38" t="e">
        <f>Table41[[#This Row],[Column2]]*U$31</f>
        <v>#DIV/0!</v>
      </c>
    </row>
    <row r="38" spans="1:21">
      <c r="A38" s="18" t="s">
        <v>381</v>
      </c>
      <c r="B38" s="898">
        <v>3.0000000000000001E-3</v>
      </c>
      <c r="C38" s="20" t="e">
        <f>Table41[[#This Row],[Column2]]*C$31</f>
        <v>#DIV/0!</v>
      </c>
      <c r="D38" s="19">
        <f>Table41[[#This Row],[Column2]]</f>
        <v>3.0000000000000001E-3</v>
      </c>
      <c r="E38" s="20" t="e">
        <f>Table41[[#This Row],[Column2]]*E$31</f>
        <v>#DIV/0!</v>
      </c>
      <c r="F38" s="19">
        <f>Table41[[#This Row],[Column4]]</f>
        <v>3.0000000000000001E-3</v>
      </c>
      <c r="G38" s="20" t="e">
        <f>Table41[[#This Row],[Column2]]*G$31</f>
        <v>#DIV/0!</v>
      </c>
      <c r="H38" s="19">
        <f>Table41[[#This Row],[Column6]]</f>
        <v>3.0000000000000001E-3</v>
      </c>
      <c r="I38" s="20" t="e">
        <f>Table41[[#This Row],[Column2]]*I$31</f>
        <v>#DIV/0!</v>
      </c>
      <c r="J38" s="19">
        <f>Table41[[#This Row],[Column8]]</f>
        <v>3.0000000000000001E-3</v>
      </c>
      <c r="K38" s="20" t="e">
        <f>Table41[[#This Row],[Column2]]*K$31</f>
        <v>#DIV/0!</v>
      </c>
      <c r="L38" s="37">
        <f>Table41[[#This Row],[Column10]]</f>
        <v>3.0000000000000001E-3</v>
      </c>
      <c r="M38" s="38" t="e">
        <f>Table41[[#This Row],[Column2]]*M$31</f>
        <v>#DIV/0!</v>
      </c>
      <c r="N38" s="37">
        <f>Table41[[#This Row],[Column2]]</f>
        <v>3.0000000000000001E-3</v>
      </c>
      <c r="O38" s="38" t="e">
        <f>Table41[[#This Row],[Column2]]*O$31</f>
        <v>#DIV/0!</v>
      </c>
      <c r="P38" s="37">
        <f>Table41[[#This Row],[Column4]]</f>
        <v>3.0000000000000001E-3</v>
      </c>
      <c r="Q38" s="38" t="e">
        <f>Table41[[#This Row],[Column2]]*Q$31</f>
        <v>#DIV/0!</v>
      </c>
      <c r="R38" s="37">
        <f>Table41[[#This Row],[Column6]]</f>
        <v>3.0000000000000001E-3</v>
      </c>
      <c r="S38" s="38" t="e">
        <f>Table41[[#This Row],[Column2]]*S$31</f>
        <v>#DIV/0!</v>
      </c>
      <c r="T38" s="37">
        <f>Table41[[#This Row],[Column8]]</f>
        <v>3.0000000000000001E-3</v>
      </c>
      <c r="U38" s="38" t="e">
        <f>Table41[[#This Row],[Column2]]*U$31</f>
        <v>#DIV/0!</v>
      </c>
    </row>
    <row r="39" spans="1:21">
      <c r="A39" s="18" t="s">
        <v>404</v>
      </c>
      <c r="B39" s="898">
        <v>1.4999999999999999E-2</v>
      </c>
      <c r="C39" s="20" t="e">
        <f>Table41[[#This Row],[Column2]]*C$31</f>
        <v>#DIV/0!</v>
      </c>
      <c r="D39" s="19">
        <f>Table41[[#This Row],[Column2]]</f>
        <v>1.4999999999999999E-2</v>
      </c>
      <c r="E39" s="20" t="e">
        <f>Table41[[#This Row],[Column2]]*E$31</f>
        <v>#DIV/0!</v>
      </c>
      <c r="F39" s="19">
        <f>Table41[[#This Row],[Column4]]</f>
        <v>1.4999999999999999E-2</v>
      </c>
      <c r="G39" s="20" t="e">
        <f>Table41[[#This Row],[Column2]]*G$31</f>
        <v>#DIV/0!</v>
      </c>
      <c r="H39" s="19">
        <f>Table41[[#This Row],[Column6]]</f>
        <v>1.4999999999999999E-2</v>
      </c>
      <c r="I39" s="20" t="e">
        <f>Table41[[#This Row],[Column2]]*I$31</f>
        <v>#DIV/0!</v>
      </c>
      <c r="J39" s="19">
        <f>Table41[[#This Row],[Column8]]</f>
        <v>1.4999999999999999E-2</v>
      </c>
      <c r="K39" s="20" t="e">
        <f>Table41[[#This Row],[Column2]]*K$31</f>
        <v>#DIV/0!</v>
      </c>
      <c r="L39" s="37">
        <f>Table41[[#This Row],[Column10]]</f>
        <v>1.4999999999999999E-2</v>
      </c>
      <c r="M39" s="38" t="e">
        <f>Table41[[#This Row],[Column2]]*M$31</f>
        <v>#DIV/0!</v>
      </c>
      <c r="N39" s="37">
        <f>Table41[[#This Row],[Column2]]</f>
        <v>1.4999999999999999E-2</v>
      </c>
      <c r="O39" s="38" t="e">
        <f>Table41[[#This Row],[Column2]]*O$31</f>
        <v>#DIV/0!</v>
      </c>
      <c r="P39" s="37">
        <f>Table41[[#This Row],[Column4]]</f>
        <v>1.4999999999999999E-2</v>
      </c>
      <c r="Q39" s="38" t="e">
        <f>Table41[[#This Row],[Column2]]*Q$31</f>
        <v>#DIV/0!</v>
      </c>
      <c r="R39" s="37">
        <f>Table41[[#This Row],[Column6]]</f>
        <v>1.4999999999999999E-2</v>
      </c>
      <c r="S39" s="38" t="e">
        <f>Table41[[#This Row],[Column2]]*S$31</f>
        <v>#DIV/0!</v>
      </c>
      <c r="T39" s="37">
        <f>Table41[[#This Row],[Column8]]</f>
        <v>1.4999999999999999E-2</v>
      </c>
      <c r="U39" s="38" t="e">
        <f>Table41[[#This Row],[Column2]]*U$31</f>
        <v>#DIV/0!</v>
      </c>
    </row>
    <row r="40" spans="1:21">
      <c r="A40" s="18" t="s">
        <v>405</v>
      </c>
      <c r="B40" s="898">
        <v>3.0000000000000001E-3</v>
      </c>
      <c r="C40" s="20" t="e">
        <f>Table41[[#This Row],[Column2]]*C$31</f>
        <v>#DIV/0!</v>
      </c>
      <c r="D40" s="19">
        <f>Table41[[#This Row],[Column2]]</f>
        <v>3.0000000000000001E-3</v>
      </c>
      <c r="E40" s="20" t="e">
        <f>Table41[[#This Row],[Column2]]*E$31</f>
        <v>#DIV/0!</v>
      </c>
      <c r="F40" s="19">
        <f>Table41[[#This Row],[Column4]]</f>
        <v>3.0000000000000001E-3</v>
      </c>
      <c r="G40" s="20" t="e">
        <f>Table41[[#This Row],[Column2]]*G$31</f>
        <v>#DIV/0!</v>
      </c>
      <c r="H40" s="19">
        <f>Table41[[#This Row],[Column6]]</f>
        <v>3.0000000000000001E-3</v>
      </c>
      <c r="I40" s="20" t="e">
        <f>Table41[[#This Row],[Column2]]*I$31</f>
        <v>#DIV/0!</v>
      </c>
      <c r="J40" s="19">
        <f>Table41[[#This Row],[Column8]]</f>
        <v>3.0000000000000001E-3</v>
      </c>
      <c r="K40" s="20" t="e">
        <f>Table41[[#This Row],[Column2]]*K$31</f>
        <v>#DIV/0!</v>
      </c>
      <c r="L40" s="37">
        <f>Table41[[#This Row],[Column10]]</f>
        <v>3.0000000000000001E-3</v>
      </c>
      <c r="M40" s="38" t="e">
        <f>Table41[[#This Row],[Column2]]*M$31</f>
        <v>#DIV/0!</v>
      </c>
      <c r="N40" s="37">
        <f>Table41[[#This Row],[Column2]]</f>
        <v>3.0000000000000001E-3</v>
      </c>
      <c r="O40" s="38" t="e">
        <f>Table41[[#This Row],[Column2]]*O$31</f>
        <v>#DIV/0!</v>
      </c>
      <c r="P40" s="37">
        <f>Table41[[#This Row],[Column4]]</f>
        <v>3.0000000000000001E-3</v>
      </c>
      <c r="Q40" s="38" t="e">
        <f>Table41[[#This Row],[Column2]]*Q$31</f>
        <v>#DIV/0!</v>
      </c>
      <c r="R40" s="37">
        <f>Table41[[#This Row],[Column6]]</f>
        <v>3.0000000000000001E-3</v>
      </c>
      <c r="S40" s="38" t="e">
        <f>Table41[[#This Row],[Column2]]*S$31</f>
        <v>#DIV/0!</v>
      </c>
      <c r="T40" s="37">
        <f>Table41[[#This Row],[Column8]]</f>
        <v>3.0000000000000001E-3</v>
      </c>
      <c r="U40" s="38" t="e">
        <f>Table41[[#This Row],[Column2]]*U$31</f>
        <v>#DIV/0!</v>
      </c>
    </row>
    <row r="41" spans="1:21">
      <c r="A41" s="18" t="s">
        <v>406</v>
      </c>
      <c r="B41" s="898">
        <v>3.0000000000000001E-3</v>
      </c>
      <c r="C41" s="20" t="e">
        <f>Table41[[#This Row],[Column2]]*C$31</f>
        <v>#DIV/0!</v>
      </c>
      <c r="D41" s="19">
        <f>Table41[[#This Row],[Column2]]</f>
        <v>3.0000000000000001E-3</v>
      </c>
      <c r="E41" s="20" t="e">
        <f>Table41[[#This Row],[Column2]]*E$31</f>
        <v>#DIV/0!</v>
      </c>
      <c r="F41" s="19">
        <f>Table41[[#This Row],[Column4]]</f>
        <v>3.0000000000000001E-3</v>
      </c>
      <c r="G41" s="20" t="e">
        <f>Table41[[#This Row],[Column2]]*G$31</f>
        <v>#DIV/0!</v>
      </c>
      <c r="H41" s="19">
        <f>Table41[[#This Row],[Column6]]</f>
        <v>3.0000000000000001E-3</v>
      </c>
      <c r="I41" s="20" t="e">
        <f>Table41[[#This Row],[Column2]]*I$31</f>
        <v>#DIV/0!</v>
      </c>
      <c r="J41" s="19">
        <f>Table41[[#This Row],[Column8]]</f>
        <v>3.0000000000000001E-3</v>
      </c>
      <c r="K41" s="20" t="e">
        <f>Table41[[#This Row],[Column2]]*K$31</f>
        <v>#DIV/0!</v>
      </c>
      <c r="L41" s="37">
        <f>Table41[[#This Row],[Column10]]</f>
        <v>3.0000000000000001E-3</v>
      </c>
      <c r="M41" s="38" t="e">
        <f>Table41[[#This Row],[Column2]]*M$31</f>
        <v>#DIV/0!</v>
      </c>
      <c r="N41" s="37">
        <f>Table41[[#This Row],[Column2]]</f>
        <v>3.0000000000000001E-3</v>
      </c>
      <c r="O41" s="38" t="e">
        <f>Table41[[#This Row],[Column2]]*O$31</f>
        <v>#DIV/0!</v>
      </c>
      <c r="P41" s="37">
        <f>Table41[[#This Row],[Column4]]</f>
        <v>3.0000000000000001E-3</v>
      </c>
      <c r="Q41" s="38" t="e">
        <f>Table41[[#This Row],[Column2]]*Q$31</f>
        <v>#DIV/0!</v>
      </c>
      <c r="R41" s="37">
        <f>Table41[[#This Row],[Column6]]</f>
        <v>3.0000000000000001E-3</v>
      </c>
      <c r="S41" s="38" t="e">
        <f>Table41[[#This Row],[Column2]]*S$31</f>
        <v>#DIV/0!</v>
      </c>
      <c r="T41" s="37">
        <f>Table41[[#This Row],[Column8]]</f>
        <v>3.0000000000000001E-3</v>
      </c>
      <c r="U41" s="38" t="e">
        <f>Table41[[#This Row],[Column2]]*U$31</f>
        <v>#DIV/0!</v>
      </c>
    </row>
    <row r="42" spans="1:21">
      <c r="A42" s="18" t="s">
        <v>407</v>
      </c>
      <c r="B42" s="898">
        <v>1.4999999999999999E-2</v>
      </c>
      <c r="C42" s="20" t="e">
        <f>Table41[[#This Row],[Column2]]*C$31</f>
        <v>#DIV/0!</v>
      </c>
      <c r="D42" s="19">
        <f>Table41[[#This Row],[Column2]]</f>
        <v>1.4999999999999999E-2</v>
      </c>
      <c r="E42" s="20" t="e">
        <f>Table41[[#This Row],[Column2]]*E$31</f>
        <v>#DIV/0!</v>
      </c>
      <c r="F42" s="19">
        <f>Table41[[#This Row],[Column4]]</f>
        <v>1.4999999999999999E-2</v>
      </c>
      <c r="G42" s="20" t="e">
        <f>Table41[[#This Row],[Column2]]*G$31</f>
        <v>#DIV/0!</v>
      </c>
      <c r="H42" s="19">
        <f>Table41[[#This Row],[Column6]]</f>
        <v>1.4999999999999999E-2</v>
      </c>
      <c r="I42" s="20" t="e">
        <f>Table41[[#This Row],[Column2]]*I$31</f>
        <v>#DIV/0!</v>
      </c>
      <c r="J42" s="19">
        <f>Table41[[#This Row],[Column8]]</f>
        <v>1.4999999999999999E-2</v>
      </c>
      <c r="K42" s="20" t="e">
        <f>Table41[[#This Row],[Column2]]*K$31</f>
        <v>#DIV/0!</v>
      </c>
      <c r="L42" s="37">
        <f>Table41[[#This Row],[Column10]]</f>
        <v>1.4999999999999999E-2</v>
      </c>
      <c r="M42" s="38" t="e">
        <f>Table41[[#This Row],[Column2]]*M$31</f>
        <v>#DIV/0!</v>
      </c>
      <c r="N42" s="37">
        <f>Table41[[#This Row],[Column2]]</f>
        <v>1.4999999999999999E-2</v>
      </c>
      <c r="O42" s="38" t="e">
        <f>Table41[[#This Row],[Column2]]*O$31</f>
        <v>#DIV/0!</v>
      </c>
      <c r="P42" s="37">
        <f>Table41[[#This Row],[Column4]]</f>
        <v>1.4999999999999999E-2</v>
      </c>
      <c r="Q42" s="38" t="e">
        <f>Table41[[#This Row],[Column2]]*Q$31</f>
        <v>#DIV/0!</v>
      </c>
      <c r="R42" s="37">
        <f>Table41[[#This Row],[Column6]]</f>
        <v>1.4999999999999999E-2</v>
      </c>
      <c r="S42" s="38" t="e">
        <f>Table41[[#This Row],[Column2]]*S$31</f>
        <v>#DIV/0!</v>
      </c>
      <c r="T42" s="37">
        <f>Table41[[#This Row],[Column8]]</f>
        <v>1.4999999999999999E-2</v>
      </c>
      <c r="U42" s="38" t="e">
        <f>Table41[[#This Row],[Column2]]*U$31</f>
        <v>#DIV/0!</v>
      </c>
    </row>
    <row r="43" spans="1:21">
      <c r="A43" s="18" t="s">
        <v>387</v>
      </c>
      <c r="B43" s="898">
        <v>0.01</v>
      </c>
      <c r="C43" s="20" t="e">
        <f>Table41[[#This Row],[Column2]]*C$31</f>
        <v>#DIV/0!</v>
      </c>
      <c r="D43" s="19">
        <f>Table41[[#This Row],[Column2]]</f>
        <v>0.01</v>
      </c>
      <c r="E43" s="20" t="e">
        <f>Table41[[#This Row],[Column2]]*E$31</f>
        <v>#DIV/0!</v>
      </c>
      <c r="F43" s="19">
        <f>Table41[[#This Row],[Column4]]</f>
        <v>0.01</v>
      </c>
      <c r="G43" s="20" t="e">
        <f>Table41[[#This Row],[Column2]]*G$31</f>
        <v>#DIV/0!</v>
      </c>
      <c r="H43" s="19">
        <f>Table41[[#This Row],[Column6]]</f>
        <v>0.01</v>
      </c>
      <c r="I43" s="20" t="e">
        <f>Table41[[#This Row],[Column2]]*I$31</f>
        <v>#DIV/0!</v>
      </c>
      <c r="J43" s="19">
        <f>Table41[[#This Row],[Column8]]</f>
        <v>0.01</v>
      </c>
      <c r="K43" s="20" t="e">
        <f>Table41[[#This Row],[Column2]]*K$31</f>
        <v>#DIV/0!</v>
      </c>
      <c r="L43" s="37">
        <f>Table41[[#This Row],[Column10]]</f>
        <v>0.01</v>
      </c>
      <c r="M43" s="38" t="e">
        <f>Table41[[#This Row],[Column2]]*M$31</f>
        <v>#DIV/0!</v>
      </c>
      <c r="N43" s="37">
        <f>Table41[[#This Row],[Column2]]</f>
        <v>0.01</v>
      </c>
      <c r="O43" s="38" t="e">
        <f>Table41[[#This Row],[Column2]]*O$31</f>
        <v>#DIV/0!</v>
      </c>
      <c r="P43" s="37">
        <f>Table41[[#This Row],[Column4]]</f>
        <v>0.01</v>
      </c>
      <c r="Q43" s="38" t="e">
        <f>Table41[[#This Row],[Column2]]*Q$31</f>
        <v>#DIV/0!</v>
      </c>
      <c r="R43" s="37">
        <f>Table41[[#This Row],[Column6]]</f>
        <v>0.01</v>
      </c>
      <c r="S43" s="38" t="e">
        <f>Table41[[#This Row],[Column2]]*S$31</f>
        <v>#DIV/0!</v>
      </c>
      <c r="T43" s="37">
        <f>Table41[[#This Row],[Column8]]</f>
        <v>0.01</v>
      </c>
      <c r="U43" s="38" t="e">
        <f>Table41[[#This Row],[Column2]]*U$31</f>
        <v>#DIV/0!</v>
      </c>
    </row>
    <row r="44" spans="1:21" s="31" customFormat="1" ht="16.5" thickBot="1">
      <c r="A44" s="565" t="s">
        <v>408</v>
      </c>
      <c r="B44" s="567" t="e">
        <f>SUBTOTAL(109,B36:B43)</f>
        <v>#DIV/0!</v>
      </c>
      <c r="C44" s="566" t="e">
        <f t="shared" ref="C44:U44" si="6">SUBTOTAL(109,C36:C43)</f>
        <v>#DIV/0!</v>
      </c>
      <c r="D44" s="567" t="e">
        <f t="shared" si="6"/>
        <v>#DIV/0!</v>
      </c>
      <c r="E44" s="566" t="e">
        <f t="shared" si="6"/>
        <v>#DIV/0!</v>
      </c>
      <c r="F44" s="567" t="e">
        <f t="shared" si="6"/>
        <v>#DIV/0!</v>
      </c>
      <c r="G44" s="566" t="e">
        <f t="shared" si="6"/>
        <v>#DIV/0!</v>
      </c>
      <c r="H44" s="567" t="e">
        <f t="shared" si="6"/>
        <v>#DIV/0!</v>
      </c>
      <c r="I44" s="566" t="e">
        <f t="shared" si="6"/>
        <v>#DIV/0!</v>
      </c>
      <c r="J44" s="567" t="e">
        <f t="shared" si="6"/>
        <v>#DIV/0!</v>
      </c>
      <c r="K44" s="568" t="e">
        <f t="shared" si="6"/>
        <v>#DIV/0!</v>
      </c>
      <c r="L44" s="34" t="e">
        <f t="shared" si="6"/>
        <v>#DIV/0!</v>
      </c>
      <c r="M44" s="35" t="e">
        <f t="shared" si="6"/>
        <v>#DIV/0!</v>
      </c>
      <c r="N44" s="34" t="e">
        <f t="shared" si="6"/>
        <v>#DIV/0!</v>
      </c>
      <c r="O44" s="35" t="e">
        <f t="shared" si="6"/>
        <v>#DIV/0!</v>
      </c>
      <c r="P44" s="34" t="e">
        <f t="shared" si="6"/>
        <v>#DIV/0!</v>
      </c>
      <c r="Q44" s="35" t="e">
        <f t="shared" si="6"/>
        <v>#DIV/0!</v>
      </c>
      <c r="R44" s="34" t="e">
        <f t="shared" si="6"/>
        <v>#DIV/0!</v>
      </c>
      <c r="S44" s="35" t="e">
        <f t="shared" si="6"/>
        <v>#DIV/0!</v>
      </c>
      <c r="T44" s="34" t="e">
        <f t="shared" si="6"/>
        <v>#DIV/0!</v>
      </c>
      <c r="U44" s="35" t="e">
        <f t="shared" si="6"/>
        <v>#DIV/0!</v>
      </c>
    </row>
    <row r="45" spans="1:21" s="31" customFormat="1" ht="16.5" thickTop="1">
      <c r="B45" s="32"/>
      <c r="C45" s="33"/>
      <c r="D45" s="32"/>
      <c r="E45" s="33"/>
      <c r="F45" s="32"/>
      <c r="G45" s="33"/>
      <c r="H45" s="32"/>
      <c r="I45" s="33"/>
      <c r="J45" s="32"/>
      <c r="K45" s="33"/>
      <c r="L45" s="34"/>
      <c r="M45" s="35"/>
      <c r="N45" s="34"/>
      <c r="O45" s="35"/>
      <c r="P45" s="34"/>
      <c r="Q45" s="35"/>
      <c r="R45" s="34"/>
      <c r="S45" s="35"/>
      <c r="T45" s="34"/>
      <c r="U45" s="35"/>
    </row>
    <row r="46" spans="1:21" s="31" customFormat="1" ht="16.5" thickBot="1">
      <c r="A46" s="565" t="s">
        <v>409</v>
      </c>
      <c r="B46" s="567" t="e">
        <f>B44+B32</f>
        <v>#DIV/0!</v>
      </c>
      <c r="C46" s="566" t="e">
        <f t="shared" ref="C46:U46" si="7">C44+C32</f>
        <v>#DIV/0!</v>
      </c>
      <c r="D46" s="567" t="e">
        <f t="shared" si="7"/>
        <v>#DIV/0!</v>
      </c>
      <c r="E46" s="566" t="e">
        <f t="shared" si="7"/>
        <v>#DIV/0!</v>
      </c>
      <c r="F46" s="567" t="e">
        <f t="shared" si="7"/>
        <v>#DIV/0!</v>
      </c>
      <c r="G46" s="566" t="e">
        <f t="shared" si="7"/>
        <v>#DIV/0!</v>
      </c>
      <c r="H46" s="567" t="e">
        <f t="shared" si="7"/>
        <v>#DIV/0!</v>
      </c>
      <c r="I46" s="566" t="e">
        <f t="shared" si="7"/>
        <v>#DIV/0!</v>
      </c>
      <c r="J46" s="567" t="e">
        <f t="shared" si="7"/>
        <v>#DIV/0!</v>
      </c>
      <c r="K46" s="568" t="e">
        <f t="shared" si="7"/>
        <v>#DIV/0!</v>
      </c>
      <c r="L46" s="34" t="e">
        <f t="shared" si="7"/>
        <v>#DIV/0!</v>
      </c>
      <c r="M46" s="35" t="e">
        <f t="shared" si="7"/>
        <v>#DIV/0!</v>
      </c>
      <c r="N46" s="34" t="e">
        <f t="shared" si="7"/>
        <v>#DIV/0!</v>
      </c>
      <c r="O46" s="35" t="e">
        <f t="shared" si="7"/>
        <v>#DIV/0!</v>
      </c>
      <c r="P46" s="34" t="e">
        <f t="shared" si="7"/>
        <v>#DIV/0!</v>
      </c>
      <c r="Q46" s="35" t="e">
        <f t="shared" si="7"/>
        <v>#DIV/0!</v>
      </c>
      <c r="R46" s="34" t="e">
        <f t="shared" si="7"/>
        <v>#DIV/0!</v>
      </c>
      <c r="S46" s="35" t="e">
        <f t="shared" si="7"/>
        <v>#DIV/0!</v>
      </c>
      <c r="T46" s="34" t="e">
        <f t="shared" si="7"/>
        <v>#DIV/0!</v>
      </c>
      <c r="U46" s="35" t="e">
        <f t="shared" si="7"/>
        <v>#DIV/0!</v>
      </c>
    </row>
    <row r="47" spans="1:21" s="31" customFormat="1" ht="16.5" thickTop="1">
      <c r="A47" s="40"/>
      <c r="B47" s="41"/>
      <c r="C47" s="42"/>
      <c r="D47" s="41"/>
      <c r="E47" s="42"/>
      <c r="F47" s="41"/>
      <c r="G47" s="42"/>
      <c r="H47" s="41"/>
      <c r="I47" s="42"/>
      <c r="J47" s="41"/>
      <c r="K47" s="42"/>
      <c r="L47" s="34">
        <f>Table41[[#This Row],[Column10]]</f>
        <v>0</v>
      </c>
      <c r="M47" s="35">
        <f>'17'!G52</f>
        <v>0</v>
      </c>
      <c r="N47" s="34">
        <f>Table41[[#This Row],[Column2]]</f>
        <v>0</v>
      </c>
      <c r="O47" s="35">
        <f>'17'!H52</f>
        <v>0</v>
      </c>
      <c r="P47" s="34">
        <f>Table41[[#This Row],[Column4]]</f>
        <v>0</v>
      </c>
      <c r="Q47" s="35">
        <f>'17'!I52</f>
        <v>0</v>
      </c>
      <c r="R47" s="34">
        <f>Table41[[#This Row],[Column6]]</f>
        <v>0</v>
      </c>
      <c r="S47" s="35">
        <f>'17'!J52</f>
        <v>0</v>
      </c>
      <c r="T47" s="34">
        <f>Table41[[#This Row],[Column8]]</f>
        <v>0</v>
      </c>
      <c r="U47" s="35">
        <f>'17'!K52</f>
        <v>0</v>
      </c>
    </row>
    <row r="48" spans="1:21" s="31" customFormat="1" ht="16.5" thickBot="1">
      <c r="A48" s="570" t="s">
        <v>410</v>
      </c>
      <c r="B48" s="571" t="e">
        <f>B31-B46</f>
        <v>#DIV/0!</v>
      </c>
      <c r="C48" s="572" t="e">
        <f t="shared" ref="C48:U48" si="8">C31-C46</f>
        <v>#DIV/0!</v>
      </c>
      <c r="D48" s="571" t="e">
        <f t="shared" si="8"/>
        <v>#DIV/0!</v>
      </c>
      <c r="E48" s="572" t="e">
        <f t="shared" si="8"/>
        <v>#DIV/0!</v>
      </c>
      <c r="F48" s="571" t="e">
        <f t="shared" si="8"/>
        <v>#DIV/0!</v>
      </c>
      <c r="G48" s="572" t="e">
        <f t="shared" si="8"/>
        <v>#DIV/0!</v>
      </c>
      <c r="H48" s="571" t="e">
        <f t="shared" si="8"/>
        <v>#DIV/0!</v>
      </c>
      <c r="I48" s="572" t="e">
        <f t="shared" si="8"/>
        <v>#DIV/0!</v>
      </c>
      <c r="J48" s="571" t="e">
        <f t="shared" si="8"/>
        <v>#DIV/0!</v>
      </c>
      <c r="K48" s="573" t="e">
        <f t="shared" si="8"/>
        <v>#DIV/0!</v>
      </c>
      <c r="L48" s="34" t="e">
        <f t="shared" si="8"/>
        <v>#DIV/0!</v>
      </c>
      <c r="M48" s="35" t="e">
        <f t="shared" si="8"/>
        <v>#DIV/0!</v>
      </c>
      <c r="N48" s="34" t="e">
        <f t="shared" si="8"/>
        <v>#DIV/0!</v>
      </c>
      <c r="O48" s="35" t="e">
        <f t="shared" si="8"/>
        <v>#DIV/0!</v>
      </c>
      <c r="P48" s="34" t="e">
        <f t="shared" si="8"/>
        <v>#DIV/0!</v>
      </c>
      <c r="Q48" s="35" t="e">
        <f t="shared" si="8"/>
        <v>#DIV/0!</v>
      </c>
      <c r="R48" s="34" t="e">
        <f t="shared" si="8"/>
        <v>#DIV/0!</v>
      </c>
      <c r="S48" s="35" t="e">
        <f t="shared" si="8"/>
        <v>#DIV/0!</v>
      </c>
      <c r="T48" s="34" t="e">
        <f t="shared" si="8"/>
        <v>#DIV/0!</v>
      </c>
      <c r="U48" s="35" t="e">
        <f t="shared" si="8"/>
        <v>#DIV/0!</v>
      </c>
    </row>
    <row r="49" spans="1:21" s="31" customFormat="1" ht="15.75">
      <c r="B49" s="32"/>
      <c r="C49" s="33"/>
      <c r="D49" s="32"/>
      <c r="E49" s="33"/>
      <c r="F49" s="32"/>
      <c r="G49" s="33"/>
      <c r="H49" s="32"/>
      <c r="I49" s="33"/>
      <c r="J49" s="32"/>
      <c r="K49" s="33"/>
      <c r="L49" s="34"/>
      <c r="M49" s="35"/>
      <c r="N49" s="34"/>
      <c r="O49" s="35"/>
      <c r="P49" s="34"/>
      <c r="Q49" s="35"/>
      <c r="R49" s="34"/>
      <c r="S49" s="35"/>
      <c r="T49" s="34"/>
      <c r="U49" s="35"/>
    </row>
    <row r="50" spans="1:21" s="31" customFormat="1" ht="15.75">
      <c r="A50" s="40" t="s">
        <v>411</v>
      </c>
      <c r="B50" s="41"/>
      <c r="C50" s="42"/>
      <c r="D50" s="41"/>
      <c r="E50" s="42"/>
      <c r="F50" s="41"/>
      <c r="G50" s="42"/>
      <c r="H50" s="41"/>
      <c r="I50" s="42"/>
      <c r="J50" s="41"/>
      <c r="K50" s="42"/>
      <c r="L50" s="34"/>
      <c r="M50" s="35"/>
      <c r="N50" s="34"/>
      <c r="O50" s="35"/>
      <c r="P50" s="34"/>
      <c r="Q50" s="35"/>
      <c r="R50" s="34"/>
      <c r="S50" s="35"/>
      <c r="T50" s="34"/>
      <c r="U50" s="35"/>
    </row>
    <row r="51" spans="1:21">
      <c r="A51" s="18" t="s">
        <v>289</v>
      </c>
      <c r="B51" s="898">
        <v>1</v>
      </c>
      <c r="C51" s="39">
        <f>'17'!B13</f>
        <v>0</v>
      </c>
      <c r="D51" s="43">
        <f>Table42[[#This Row],[Column2]]</f>
        <v>1</v>
      </c>
      <c r="E51" s="39">
        <f>'17'!C13</f>
        <v>0</v>
      </c>
      <c r="F51" s="43">
        <f>Table42[[#This Row],[Column4]]</f>
        <v>1</v>
      </c>
      <c r="G51" s="39">
        <f>'17'!D13</f>
        <v>0</v>
      </c>
      <c r="H51" s="43">
        <f>Table42[[#This Row],[Column6]]</f>
        <v>1</v>
      </c>
      <c r="I51" s="39">
        <f>'17'!E13</f>
        <v>0</v>
      </c>
      <c r="J51" s="43">
        <f>Table42[[#This Row],[Column8]]</f>
        <v>1</v>
      </c>
      <c r="K51" s="39">
        <f>'17'!F13</f>
        <v>0</v>
      </c>
      <c r="L51" s="37">
        <f>Table42[[#This Row],[Column10]]</f>
        <v>1</v>
      </c>
      <c r="M51" s="38">
        <f>'17'!G13</f>
        <v>0</v>
      </c>
      <c r="N51" s="37">
        <f>Table42[[#This Row],[Column12]]</f>
        <v>1</v>
      </c>
      <c r="O51" s="38">
        <f>'17'!H13</f>
        <v>0</v>
      </c>
      <c r="P51" s="37">
        <f>Table42[[#This Row],[Column14]]</f>
        <v>1</v>
      </c>
      <c r="Q51" s="38">
        <f>'17'!I13</f>
        <v>0</v>
      </c>
      <c r="R51" s="37">
        <f>P51</f>
        <v>1</v>
      </c>
      <c r="S51" s="38">
        <f>'17'!J13</f>
        <v>0</v>
      </c>
      <c r="T51" s="37">
        <f>R51</f>
        <v>1</v>
      </c>
      <c r="U51" s="38">
        <f>'17'!K13</f>
        <v>0</v>
      </c>
    </row>
    <row r="52" spans="1:21">
      <c r="A52" s="18" t="s">
        <v>380</v>
      </c>
      <c r="B52" s="44" t="e">
        <f>Table42[[#This Row],[Column3]]/C51</f>
        <v>#DIV/0!</v>
      </c>
      <c r="C52" s="39">
        <f>'21'!E8</f>
        <v>0</v>
      </c>
      <c r="D52" s="43" t="e">
        <f>Table42[[#This Row],[Column5]]/E51</f>
        <v>#DIV/0!</v>
      </c>
      <c r="E52" s="39">
        <f>'21'!F8</f>
        <v>0</v>
      </c>
      <c r="F52" s="43" t="e">
        <f>Table42[[#This Row],[Column7]]/G51</f>
        <v>#DIV/0!</v>
      </c>
      <c r="G52" s="39">
        <f>'21'!G8</f>
        <v>0</v>
      </c>
      <c r="H52" s="43" t="e">
        <f>Table42[[#This Row],[Column9]]/I51</f>
        <v>#DIV/0!</v>
      </c>
      <c r="I52" s="39">
        <f>'21'!H8</f>
        <v>0</v>
      </c>
      <c r="J52" s="43" t="e">
        <f>Table42[[#This Row],[Column11]]/K$51</f>
        <v>#DIV/0!</v>
      </c>
      <c r="K52" s="39">
        <f>'21'!I8</f>
        <v>0</v>
      </c>
      <c r="L52" s="37" t="e">
        <f>Table42[[#This Row],[Column13]]/M51</f>
        <v>#DIV/0!</v>
      </c>
      <c r="M52" s="38">
        <f>'21'!J8</f>
        <v>0</v>
      </c>
      <c r="N52" s="37" t="e">
        <f>Table42[[#This Row],[Column15]]/O51</f>
        <v>#DIV/0!</v>
      </c>
      <c r="O52" s="38">
        <f>'21'!K8</f>
        <v>0</v>
      </c>
      <c r="P52" s="37" t="e">
        <f>Q52/Q51</f>
        <v>#DIV/0!</v>
      </c>
      <c r="Q52" s="38">
        <f>'21'!L8</f>
        <v>0</v>
      </c>
      <c r="R52" s="37" t="e">
        <f>S52/S51</f>
        <v>#DIV/0!</v>
      </c>
      <c r="S52" s="38">
        <f>'21'!M8</f>
        <v>0</v>
      </c>
      <c r="T52" s="37" t="e">
        <f>U52/U51</f>
        <v>#DIV/0!</v>
      </c>
      <c r="U52" s="38">
        <f>'21'!N8</f>
        <v>0</v>
      </c>
    </row>
    <row r="53" spans="1:21">
      <c r="A53" s="18" t="s">
        <v>213</v>
      </c>
      <c r="B53" s="19" t="e">
        <f>B54-B52</f>
        <v>#DIV/0!</v>
      </c>
      <c r="C53" s="39">
        <f t="shared" ref="C53:U53" si="9">C54-C52</f>
        <v>0</v>
      </c>
      <c r="D53" s="43" t="e">
        <f t="shared" si="9"/>
        <v>#DIV/0!</v>
      </c>
      <c r="E53" s="39">
        <f t="shared" si="9"/>
        <v>0</v>
      </c>
      <c r="F53" s="43" t="e">
        <f t="shared" si="9"/>
        <v>#DIV/0!</v>
      </c>
      <c r="G53" s="39">
        <f t="shared" si="9"/>
        <v>0</v>
      </c>
      <c r="H53" s="43" t="e">
        <f t="shared" si="9"/>
        <v>#DIV/0!</v>
      </c>
      <c r="I53" s="39">
        <f t="shared" si="9"/>
        <v>0</v>
      </c>
      <c r="J53" s="43" t="e">
        <f t="shared" si="9"/>
        <v>#DIV/0!</v>
      </c>
      <c r="K53" s="39">
        <f t="shared" si="9"/>
        <v>0</v>
      </c>
      <c r="L53" s="37" t="e">
        <f t="shared" si="9"/>
        <v>#DIV/0!</v>
      </c>
      <c r="M53" s="38">
        <f t="shared" si="9"/>
        <v>0</v>
      </c>
      <c r="N53" s="37" t="e">
        <f t="shared" si="9"/>
        <v>#DIV/0!</v>
      </c>
      <c r="O53" s="38">
        <f t="shared" si="9"/>
        <v>0</v>
      </c>
      <c r="P53" s="37" t="e">
        <f t="shared" si="9"/>
        <v>#DIV/0!</v>
      </c>
      <c r="Q53" s="38">
        <f t="shared" si="9"/>
        <v>0</v>
      </c>
      <c r="R53" s="37" t="e">
        <f t="shared" si="9"/>
        <v>#DIV/0!</v>
      </c>
      <c r="S53" s="38">
        <f t="shared" si="9"/>
        <v>0</v>
      </c>
      <c r="T53" s="37" t="e">
        <f t="shared" si="9"/>
        <v>#DIV/0!</v>
      </c>
      <c r="U53" s="38">
        <f t="shared" si="9"/>
        <v>0</v>
      </c>
    </row>
    <row r="54" spans="1:21" s="31" customFormat="1" ht="16.5" thickBot="1">
      <c r="A54" s="570" t="s">
        <v>412</v>
      </c>
      <c r="B54" s="900">
        <v>0.5</v>
      </c>
      <c r="C54" s="574">
        <f>Table42[[#This Row],[Column2]]*C51</f>
        <v>0</v>
      </c>
      <c r="D54" s="575">
        <f>Table42[[#This Row],[Column2]]</f>
        <v>0.5</v>
      </c>
      <c r="E54" s="574">
        <f>Table42[[#This Row],[Column2]]*E51</f>
        <v>0</v>
      </c>
      <c r="F54" s="575">
        <f>Table42[[#This Row],[Column4]]</f>
        <v>0.5</v>
      </c>
      <c r="G54" s="574">
        <f>Table42[[#This Row],[Column2]]*G51</f>
        <v>0</v>
      </c>
      <c r="H54" s="575">
        <f>Table42[[#This Row],[Column6]]</f>
        <v>0.5</v>
      </c>
      <c r="I54" s="574">
        <f>Table42[[#This Row],[Column2]]*I51</f>
        <v>0</v>
      </c>
      <c r="J54" s="575">
        <f>Table42[[#This Row],[Column8]]</f>
        <v>0.5</v>
      </c>
      <c r="K54" s="576">
        <f>Table42[[#This Row],[Column2]]*K$51</f>
        <v>0</v>
      </c>
      <c r="L54" s="34">
        <f>Table42[[#This Row],[Column10]]</f>
        <v>0.5</v>
      </c>
      <c r="M54" s="35">
        <f>Table42[[#This Row],[Column2]]*M$51</f>
        <v>0</v>
      </c>
      <c r="N54" s="34">
        <f>Table42[[#This Row],[Column12]]</f>
        <v>0.5</v>
      </c>
      <c r="O54" s="35">
        <f>Table42[[#This Row],[Column2]]*O$51</f>
        <v>0</v>
      </c>
      <c r="P54" s="34">
        <f>Table42[[#This Row],[Column14]]</f>
        <v>0.5</v>
      </c>
      <c r="Q54" s="35">
        <f>Table42[[#This Row],[Column2]]*Q$51</f>
        <v>0</v>
      </c>
      <c r="R54" s="34">
        <f>P54</f>
        <v>0.5</v>
      </c>
      <c r="S54" s="35">
        <f>Table42[[#This Row],[Column2]]*S$51</f>
        <v>0</v>
      </c>
      <c r="T54" s="34">
        <f>R54</f>
        <v>0.5</v>
      </c>
      <c r="U54" s="35">
        <f>Table42[[#This Row],[Column2]]*U$51</f>
        <v>0</v>
      </c>
    </row>
    <row r="55" spans="1:21" s="31" customFormat="1" ht="15.75">
      <c r="B55" s="32"/>
      <c r="C55" s="45"/>
      <c r="D55" s="46"/>
      <c r="E55" s="45"/>
      <c r="F55" s="46"/>
      <c r="G55" s="45"/>
      <c r="H55" s="46"/>
      <c r="I55" s="45"/>
      <c r="J55" s="46"/>
      <c r="K55" s="45"/>
      <c r="L55" s="34"/>
      <c r="M55" s="35"/>
      <c r="N55" s="34"/>
      <c r="O55" s="35"/>
      <c r="P55" s="34"/>
      <c r="Q55" s="35"/>
      <c r="R55" s="34"/>
      <c r="S55" s="35"/>
      <c r="T55" s="34"/>
      <c r="U55" s="35"/>
    </row>
    <row r="56" spans="1:21">
      <c r="A56" s="18" t="s">
        <v>413</v>
      </c>
      <c r="B56" s="898">
        <v>1</v>
      </c>
      <c r="C56" s="39">
        <f>'17'!B14</f>
        <v>0</v>
      </c>
      <c r="D56" s="43">
        <f>Table42[[#This Row],[Column2]]</f>
        <v>1</v>
      </c>
      <c r="E56" s="39">
        <f>'17'!C14</f>
        <v>0</v>
      </c>
      <c r="F56" s="43">
        <f>Table42[[#This Row],[Column4]]</f>
        <v>1</v>
      </c>
      <c r="G56" s="39">
        <f>'17'!D14</f>
        <v>0</v>
      </c>
      <c r="H56" s="43">
        <f>Table42[[#This Row],[Column6]]</f>
        <v>1</v>
      </c>
      <c r="I56" s="39">
        <f>'17'!E14</f>
        <v>0</v>
      </c>
      <c r="J56" s="43">
        <f>Table42[[#This Row],[Column8]]</f>
        <v>1</v>
      </c>
      <c r="K56" s="39">
        <f>'17'!F14</f>
        <v>0</v>
      </c>
      <c r="L56" s="37">
        <f>Table42[[#This Row],[Column10]]</f>
        <v>1</v>
      </c>
      <c r="M56" s="38">
        <f>'17'!G14</f>
        <v>0</v>
      </c>
      <c r="N56" s="37">
        <f>Table42[[#This Row],[Column12]]</f>
        <v>1</v>
      </c>
      <c r="O56" s="38">
        <f>'17'!H14</f>
        <v>0</v>
      </c>
      <c r="P56" s="37">
        <f>Table42[[#This Row],[Column14]]</f>
        <v>1</v>
      </c>
      <c r="Q56" s="38">
        <f>'17'!I14</f>
        <v>0</v>
      </c>
      <c r="R56" s="37">
        <f>P56</f>
        <v>1</v>
      </c>
      <c r="S56" s="38">
        <f>'17'!J14</f>
        <v>0</v>
      </c>
      <c r="T56" s="37">
        <f>R56</f>
        <v>1</v>
      </c>
      <c r="U56" s="38">
        <f>'17'!K14</f>
        <v>0</v>
      </c>
    </row>
    <row r="57" spans="1:21">
      <c r="A57" s="18" t="s">
        <v>380</v>
      </c>
      <c r="B57" s="19" t="e">
        <f>Table42[[#This Row],[Column3]]/C56</f>
        <v>#DIV/0!</v>
      </c>
      <c r="C57" s="20">
        <f>'21'!E9</f>
        <v>0</v>
      </c>
      <c r="D57" s="19" t="e">
        <f>Table42[[#This Row],[Column5]]/E56</f>
        <v>#DIV/0!</v>
      </c>
      <c r="E57" s="20">
        <f>'21'!F9</f>
        <v>0</v>
      </c>
      <c r="F57" s="19" t="e">
        <f>Table42[[#This Row],[Column7]]/G56</f>
        <v>#DIV/0!</v>
      </c>
      <c r="G57" s="20">
        <f>'21'!G9</f>
        <v>0</v>
      </c>
      <c r="H57" s="19" t="e">
        <f>Table42[[#This Row],[Column9]]/I56</f>
        <v>#DIV/0!</v>
      </c>
      <c r="I57" s="20">
        <f>'21'!H9</f>
        <v>0</v>
      </c>
      <c r="J57" s="19" t="e">
        <f>Table42[[#This Row],[Column11]]/K56</f>
        <v>#DIV/0!</v>
      </c>
      <c r="K57" s="20">
        <f>'21'!I9</f>
        <v>0</v>
      </c>
      <c r="L57" s="37" t="e">
        <f>Table42[[#This Row],[Column13]]/M56</f>
        <v>#DIV/0!</v>
      </c>
      <c r="M57" s="38">
        <f>'21'!J9</f>
        <v>0</v>
      </c>
      <c r="N57" s="37" t="e">
        <f>Table42[[#This Row],[Column15]]/O56</f>
        <v>#DIV/0!</v>
      </c>
      <c r="O57" s="38">
        <f>'21'!K9</f>
        <v>0</v>
      </c>
      <c r="P57" s="37" t="e">
        <f>Q57/Q56</f>
        <v>#DIV/0!</v>
      </c>
      <c r="Q57" s="38">
        <f>'21'!L9</f>
        <v>0</v>
      </c>
      <c r="R57" s="37" t="e">
        <f>S57/S56</f>
        <v>#DIV/0!</v>
      </c>
      <c r="S57" s="38">
        <f>'21'!M9</f>
        <v>0</v>
      </c>
      <c r="T57" s="37" t="e">
        <f>U57/U56</f>
        <v>#DIV/0!</v>
      </c>
      <c r="U57" s="38">
        <f>'21'!N9</f>
        <v>0</v>
      </c>
    </row>
    <row r="58" spans="1:21">
      <c r="A58" s="18" t="s">
        <v>213</v>
      </c>
      <c r="B58" s="898">
        <v>0.25</v>
      </c>
      <c r="C58" s="20">
        <f>C56*Table42[[#This Row],[Column2]]</f>
        <v>0</v>
      </c>
      <c r="D58" s="43">
        <f>Table42[[#This Row],[Column2]]</f>
        <v>0.25</v>
      </c>
      <c r="E58" s="20">
        <f>E56*Table42[[#This Row],[Column2]]</f>
        <v>0</v>
      </c>
      <c r="F58" s="43">
        <f>Table42[[#This Row],[Column4]]</f>
        <v>0.25</v>
      </c>
      <c r="G58" s="20">
        <f>G56*Table42[[#This Row],[Column2]]</f>
        <v>0</v>
      </c>
      <c r="H58" s="43">
        <f>Table42[[#This Row],[Column6]]</f>
        <v>0.25</v>
      </c>
      <c r="I58" s="20">
        <f>I56*Table42[[#This Row],[Column2]]</f>
        <v>0</v>
      </c>
      <c r="J58" s="43">
        <f>Table42[[#This Row],[Column8]]</f>
        <v>0.25</v>
      </c>
      <c r="K58" s="20">
        <f>K56*Table42[[#This Row],[Column2]]</f>
        <v>0</v>
      </c>
      <c r="L58" s="37">
        <f>Table42[[#This Row],[Column10]]</f>
        <v>0.25</v>
      </c>
      <c r="M58" s="38">
        <f>Table42[[#This Row],[Column12]]*M$56</f>
        <v>0</v>
      </c>
      <c r="N58" s="37">
        <f>Table42[[#This Row],[Column12]]</f>
        <v>0.25</v>
      </c>
      <c r="O58" s="38">
        <f>Table42[[#This Row],[Column12]]*O$56</f>
        <v>0</v>
      </c>
      <c r="P58" s="37">
        <f>Table42[[#This Row],[Column14]]</f>
        <v>0.25</v>
      </c>
      <c r="Q58" s="38">
        <f>Table42[[#This Row],[Column12]]*Q$56</f>
        <v>0</v>
      </c>
      <c r="R58" s="37">
        <f>P58</f>
        <v>0.25</v>
      </c>
      <c r="S58" s="38">
        <f>Table42[[#This Row],[Column12]]*S$56</f>
        <v>0</v>
      </c>
      <c r="T58" s="37">
        <f>R58</f>
        <v>0.25</v>
      </c>
      <c r="U58" s="38">
        <f>Table42[[#This Row],[Column12]]*U$56</f>
        <v>0</v>
      </c>
    </row>
    <row r="59" spans="1:21" s="31" customFormat="1" ht="16.5" thickBot="1">
      <c r="A59" s="570" t="s">
        <v>414</v>
      </c>
      <c r="B59" s="571" t="e">
        <f>B57+B58</f>
        <v>#DIV/0!</v>
      </c>
      <c r="C59" s="572">
        <f t="shared" ref="C59:U59" si="10">C57+C58</f>
        <v>0</v>
      </c>
      <c r="D59" s="571" t="e">
        <f t="shared" si="10"/>
        <v>#DIV/0!</v>
      </c>
      <c r="E59" s="572">
        <f t="shared" si="10"/>
        <v>0</v>
      </c>
      <c r="F59" s="571" t="e">
        <f t="shared" si="10"/>
        <v>#DIV/0!</v>
      </c>
      <c r="G59" s="572">
        <f t="shared" si="10"/>
        <v>0</v>
      </c>
      <c r="H59" s="571" t="e">
        <f t="shared" si="10"/>
        <v>#DIV/0!</v>
      </c>
      <c r="I59" s="572">
        <f t="shared" si="10"/>
        <v>0</v>
      </c>
      <c r="J59" s="571" t="e">
        <f t="shared" si="10"/>
        <v>#DIV/0!</v>
      </c>
      <c r="K59" s="573">
        <f t="shared" si="10"/>
        <v>0</v>
      </c>
      <c r="L59" s="34" t="e">
        <f t="shared" si="10"/>
        <v>#DIV/0!</v>
      </c>
      <c r="M59" s="35">
        <f t="shared" si="10"/>
        <v>0</v>
      </c>
      <c r="N59" s="34" t="e">
        <f t="shared" si="10"/>
        <v>#DIV/0!</v>
      </c>
      <c r="O59" s="35">
        <f t="shared" si="10"/>
        <v>0</v>
      </c>
      <c r="P59" s="34" t="e">
        <f t="shared" si="10"/>
        <v>#DIV/0!</v>
      </c>
      <c r="Q59" s="35">
        <f t="shared" si="10"/>
        <v>0</v>
      </c>
      <c r="R59" s="34" t="e">
        <f t="shared" si="10"/>
        <v>#DIV/0!</v>
      </c>
      <c r="S59" s="35">
        <f t="shared" si="10"/>
        <v>0</v>
      </c>
      <c r="T59" s="34" t="e">
        <f t="shared" si="10"/>
        <v>#DIV/0!</v>
      </c>
      <c r="U59" s="35">
        <f t="shared" si="10"/>
        <v>0</v>
      </c>
    </row>
    <row r="60" spans="1:21" s="31" customFormat="1" ht="15.75">
      <c r="B60" s="32"/>
      <c r="C60" s="33"/>
      <c r="D60" s="32"/>
      <c r="E60" s="33"/>
      <c r="F60" s="32"/>
      <c r="G60" s="33"/>
      <c r="H60" s="32"/>
      <c r="I60" s="33"/>
      <c r="J60" s="32"/>
      <c r="K60" s="33"/>
      <c r="L60" s="34"/>
      <c r="M60" s="35"/>
      <c r="N60" s="34"/>
      <c r="O60" s="35"/>
      <c r="P60" s="34"/>
      <c r="Q60" s="35"/>
      <c r="R60" s="34"/>
      <c r="S60" s="35"/>
      <c r="T60" s="34"/>
      <c r="U60" s="35"/>
    </row>
    <row r="61" spans="1:21" s="31" customFormat="1" ht="15.75">
      <c r="A61" s="31" t="s">
        <v>415</v>
      </c>
      <c r="B61" s="32"/>
      <c r="C61" s="33"/>
      <c r="D61" s="32"/>
      <c r="E61" s="33"/>
      <c r="F61" s="32"/>
      <c r="G61" s="33"/>
      <c r="H61" s="32"/>
      <c r="I61" s="33"/>
      <c r="J61" s="32"/>
      <c r="K61" s="33"/>
      <c r="L61" s="34"/>
      <c r="M61" s="35"/>
      <c r="N61" s="34"/>
      <c r="O61" s="35"/>
      <c r="P61" s="34"/>
      <c r="Q61" s="35"/>
      <c r="R61" s="34"/>
      <c r="S61" s="35"/>
      <c r="T61" s="34"/>
      <c r="U61" s="35"/>
    </row>
    <row r="62" spans="1:21">
      <c r="A62" s="18" t="s">
        <v>380</v>
      </c>
      <c r="B62" s="43" t="e">
        <f>Table42[[#This Row],[Column3]]/'17'!B$15</f>
        <v>#DIV/0!</v>
      </c>
      <c r="C62" s="47">
        <f>'21'!E10</f>
        <v>0</v>
      </c>
      <c r="D62" s="48" t="e">
        <f>Table42[[#This Row],[Column5]]/'17'!C$15</f>
        <v>#DIV/0!</v>
      </c>
      <c r="E62" s="47">
        <f>'21'!F10</f>
        <v>0</v>
      </c>
      <c r="F62" s="48" t="e">
        <f>Table42[[#This Row],[Column7]]/'17'!D$15</f>
        <v>#DIV/0!</v>
      </c>
      <c r="G62" s="47">
        <f>'21'!G10</f>
        <v>0</v>
      </c>
      <c r="H62" s="48" t="e">
        <f>Table42[[#This Row],[Column9]]/'17'!E$15</f>
        <v>#DIV/0!</v>
      </c>
      <c r="I62" s="47">
        <f>'21'!H10</f>
        <v>0</v>
      </c>
      <c r="J62" s="48" t="e">
        <f>Table42[[#This Row],[Column11]]/'17'!F$15</f>
        <v>#DIV/0!</v>
      </c>
      <c r="K62" s="47">
        <f>'21'!I10</f>
        <v>0</v>
      </c>
      <c r="L62" s="37" t="e">
        <f>Table42[[#This Row],[Column13]]/'17'!G15</f>
        <v>#DIV/0!</v>
      </c>
      <c r="M62" s="38">
        <f>'21'!J10</f>
        <v>0</v>
      </c>
      <c r="N62" s="37" t="e">
        <f>Table42[[#This Row],[Column15]]/'17'!H15</f>
        <v>#DIV/0!</v>
      </c>
      <c r="O62" s="38">
        <f>'21'!K10</f>
        <v>0</v>
      </c>
      <c r="P62" s="37" t="e">
        <f>Q62/'17'!I15</f>
        <v>#DIV/0!</v>
      </c>
      <c r="Q62" s="38">
        <f>'21'!L10</f>
        <v>0</v>
      </c>
      <c r="R62" s="37" t="e">
        <f>S62/'17'!J15</f>
        <v>#DIV/0!</v>
      </c>
      <c r="S62" s="38">
        <f>'21'!M10</f>
        <v>0</v>
      </c>
      <c r="T62" s="37" t="e">
        <f>U62/'17'!K15</f>
        <v>#DIV/0!</v>
      </c>
      <c r="U62" s="38">
        <f>'21'!N10</f>
        <v>0</v>
      </c>
    </row>
    <row r="63" spans="1:21">
      <c r="A63" s="18" t="s">
        <v>416</v>
      </c>
      <c r="B63" s="43" t="e">
        <f>Table42[[#This Row],[Column3]]/'17'!B$15</f>
        <v>#DIV/0!</v>
      </c>
      <c r="C63" s="47">
        <f>Financials!C43</f>
        <v>0</v>
      </c>
      <c r="D63" s="48" t="e">
        <f>Table42[[#This Row],[Column5]]/'17'!C$15</f>
        <v>#DIV/0!</v>
      </c>
      <c r="E63" s="47">
        <f>Financials!D43</f>
        <v>0</v>
      </c>
      <c r="F63" s="48" t="e">
        <f>Table42[[#This Row],[Column7]]/'17'!D$15</f>
        <v>#DIV/0!</v>
      </c>
      <c r="G63" s="47">
        <f>Financials!E43</f>
        <v>0</v>
      </c>
      <c r="H63" s="48" t="e">
        <f>Table42[[#This Row],[Column9]]/'17'!E$15</f>
        <v>#DIV/0!</v>
      </c>
      <c r="I63" s="47">
        <f>Financials!F43</f>
        <v>0</v>
      </c>
      <c r="J63" s="48" t="e">
        <f>Table42[[#This Row],[Column11]]/'17'!F$15</f>
        <v>#DIV/0!</v>
      </c>
      <c r="K63" s="47">
        <f>Financials!G43</f>
        <v>0</v>
      </c>
      <c r="L63" s="37" t="e">
        <f>Table42[[#This Row],[Column10]]</f>
        <v>#DIV/0!</v>
      </c>
      <c r="M63" s="38" t="e">
        <f>Table42[[#This Row],[Column12]]*'17'!G$15</f>
        <v>#DIV/0!</v>
      </c>
      <c r="N63" s="37" t="e">
        <f>Table42[[#This Row],[Column12]]</f>
        <v>#DIV/0!</v>
      </c>
      <c r="O63" s="38" t="e">
        <f>Table42[[#This Row],[Column14]]*'17'!H15</f>
        <v>#DIV/0!</v>
      </c>
      <c r="P63" s="37" t="e">
        <f>Table42[[#This Row],[Column14]]</f>
        <v>#DIV/0!</v>
      </c>
      <c r="Q63" s="38" t="e">
        <f>P63*'17'!I15</f>
        <v>#DIV/0!</v>
      </c>
      <c r="R63" s="37" t="e">
        <f>P63</f>
        <v>#DIV/0!</v>
      </c>
      <c r="S63" s="38" t="e">
        <f>R63*'17'!J15</f>
        <v>#DIV/0!</v>
      </c>
      <c r="T63" s="37" t="e">
        <f>R63</f>
        <v>#DIV/0!</v>
      </c>
      <c r="U63" s="38" t="e">
        <f>T63*'17'!K15</f>
        <v>#DIV/0!</v>
      </c>
    </row>
    <row r="64" spans="1:21" s="31" customFormat="1" ht="16.5" thickBot="1">
      <c r="A64" s="570" t="s">
        <v>417</v>
      </c>
      <c r="B64" s="571" t="e">
        <f>B62+B63</f>
        <v>#DIV/0!</v>
      </c>
      <c r="C64" s="577">
        <f t="shared" ref="C64:U64" si="11">C62+C63</f>
        <v>0</v>
      </c>
      <c r="D64" s="578" t="e">
        <f t="shared" si="11"/>
        <v>#DIV/0!</v>
      </c>
      <c r="E64" s="577">
        <f t="shared" si="11"/>
        <v>0</v>
      </c>
      <c r="F64" s="578" t="e">
        <f t="shared" si="11"/>
        <v>#DIV/0!</v>
      </c>
      <c r="G64" s="577">
        <f t="shared" si="11"/>
        <v>0</v>
      </c>
      <c r="H64" s="578" t="e">
        <f t="shared" si="11"/>
        <v>#DIV/0!</v>
      </c>
      <c r="I64" s="577">
        <f t="shared" si="11"/>
        <v>0</v>
      </c>
      <c r="J64" s="578" t="e">
        <f t="shared" si="11"/>
        <v>#DIV/0!</v>
      </c>
      <c r="K64" s="579">
        <f t="shared" si="11"/>
        <v>0</v>
      </c>
      <c r="L64" s="34" t="e">
        <f t="shared" si="11"/>
        <v>#DIV/0!</v>
      </c>
      <c r="M64" s="35" t="e">
        <f t="shared" si="11"/>
        <v>#DIV/0!</v>
      </c>
      <c r="N64" s="34" t="e">
        <f t="shared" si="11"/>
        <v>#DIV/0!</v>
      </c>
      <c r="O64" s="35" t="e">
        <f t="shared" si="11"/>
        <v>#DIV/0!</v>
      </c>
      <c r="P64" s="34" t="e">
        <f t="shared" si="11"/>
        <v>#DIV/0!</v>
      </c>
      <c r="Q64" s="35" t="e">
        <f t="shared" si="11"/>
        <v>#DIV/0!</v>
      </c>
      <c r="R64" s="34" t="e">
        <f t="shared" si="11"/>
        <v>#DIV/0!</v>
      </c>
      <c r="S64" s="35" t="e">
        <f t="shared" si="11"/>
        <v>#DIV/0!</v>
      </c>
      <c r="T64" s="34" t="e">
        <f t="shared" si="11"/>
        <v>#DIV/0!</v>
      </c>
      <c r="U64" s="35" t="e">
        <f t="shared" si="11"/>
        <v>#DIV/0!</v>
      </c>
    </row>
    <row r="65" spans="1:21" s="31" customFormat="1" ht="15.75">
      <c r="B65" s="32"/>
      <c r="C65" s="49"/>
      <c r="D65" s="50"/>
      <c r="E65" s="49"/>
      <c r="F65" s="50"/>
      <c r="G65" s="49"/>
      <c r="H65" s="50"/>
      <c r="I65" s="49"/>
      <c r="J65" s="50"/>
      <c r="K65" s="49"/>
      <c r="L65" s="34"/>
      <c r="M65" s="35"/>
      <c r="N65" s="34"/>
      <c r="O65" s="35"/>
      <c r="P65" s="34"/>
      <c r="Q65" s="35"/>
      <c r="R65" s="34"/>
      <c r="S65" s="35"/>
      <c r="T65" s="34"/>
      <c r="U65" s="35"/>
    </row>
    <row r="66" spans="1:21" s="31" customFormat="1" ht="15.75">
      <c r="A66" s="31" t="s">
        <v>418</v>
      </c>
      <c r="B66" s="32"/>
      <c r="C66" s="49"/>
      <c r="D66" s="50"/>
      <c r="E66" s="49"/>
      <c r="F66" s="50"/>
      <c r="G66" s="49"/>
      <c r="H66" s="50"/>
      <c r="I66" s="49"/>
      <c r="J66" s="50"/>
      <c r="K66" s="49"/>
      <c r="L66" s="34"/>
      <c r="M66" s="35"/>
      <c r="N66" s="34"/>
      <c r="O66" s="35"/>
      <c r="P66" s="34"/>
      <c r="Q66" s="35"/>
      <c r="R66" s="34"/>
      <c r="S66" s="35"/>
      <c r="T66" s="34"/>
      <c r="U66" s="35"/>
    </row>
    <row r="67" spans="1:21">
      <c r="A67" s="18" t="s">
        <v>380</v>
      </c>
      <c r="B67" s="43" t="e">
        <f>Table42[[#This Row],[Column3]]/'17'!B$15</f>
        <v>#DIV/0!</v>
      </c>
      <c r="C67" s="47">
        <f>'21'!E12</f>
        <v>0</v>
      </c>
      <c r="D67" s="48" t="e">
        <f>Table42[[#This Row],[Column5]]/'17'!C$15</f>
        <v>#DIV/0!</v>
      </c>
      <c r="E67" s="47">
        <f>'21'!F12</f>
        <v>0</v>
      </c>
      <c r="F67" s="48" t="e">
        <f>Table42[[#This Row],[Column7]]/'17'!D$15</f>
        <v>#DIV/0!</v>
      </c>
      <c r="G67" s="47">
        <f>'21'!G12</f>
        <v>0</v>
      </c>
      <c r="H67" s="48" t="e">
        <f>Table42[[#This Row],[Column9]]/'17'!E$15</f>
        <v>#DIV/0!</v>
      </c>
      <c r="I67" s="47">
        <f>'21'!H12</f>
        <v>0</v>
      </c>
      <c r="J67" s="48" t="e">
        <f>Table42[[#This Row],[Column11]]/'17'!F$15</f>
        <v>#DIV/0!</v>
      </c>
      <c r="K67" s="47">
        <f>'21'!I12</f>
        <v>0</v>
      </c>
      <c r="L67" s="37" t="e">
        <f>Table42[[#This Row],[Column13]]/'17'!G$15</f>
        <v>#DIV/0!</v>
      </c>
      <c r="M67" s="38">
        <f>'21'!J12</f>
        <v>0</v>
      </c>
      <c r="N67" s="37" t="e">
        <f>Table42[[#This Row],[Column15]]/'17'!H15</f>
        <v>#DIV/0!</v>
      </c>
      <c r="O67" s="38">
        <f>'21'!K12</f>
        <v>0</v>
      </c>
      <c r="P67" s="37" t="e">
        <f>Q67/'17'!I$15</f>
        <v>#DIV/0!</v>
      </c>
      <c r="Q67" s="38">
        <f>'21'!L12</f>
        <v>0</v>
      </c>
      <c r="R67" s="37" t="e">
        <f>S67/'17'!J15</f>
        <v>#DIV/0!</v>
      </c>
      <c r="S67" s="38">
        <f>'21'!M12</f>
        <v>0</v>
      </c>
      <c r="T67" s="37" t="e">
        <f>U67/'17'!K15</f>
        <v>#DIV/0!</v>
      </c>
      <c r="U67" s="38">
        <f>'21'!N12</f>
        <v>0</v>
      </c>
    </row>
    <row r="68" spans="1:21">
      <c r="A68" s="18" t="s">
        <v>213</v>
      </c>
      <c r="B68" s="43" t="e">
        <f>Table42[[#This Row],[Column3]]/'17'!B$15</f>
        <v>#DIV/0!</v>
      </c>
      <c r="C68" s="47">
        <f>Financials!C44</f>
        <v>0</v>
      </c>
      <c r="D68" s="48" t="e">
        <f>Table42[[#This Row],[Column5]]/'17'!C$15</f>
        <v>#DIV/0!</v>
      </c>
      <c r="E68" s="47">
        <f>Financials!D44</f>
        <v>0</v>
      </c>
      <c r="F68" s="48" t="e">
        <f>Table42[[#This Row],[Column7]]/'17'!D$15</f>
        <v>#DIV/0!</v>
      </c>
      <c r="G68" s="47">
        <f>Financials!E44</f>
        <v>0</v>
      </c>
      <c r="H68" s="48" t="e">
        <f>Table42[[#This Row],[Column9]]/'17'!E$15</f>
        <v>#DIV/0!</v>
      </c>
      <c r="I68" s="47">
        <f>Financials!F44</f>
        <v>0</v>
      </c>
      <c r="J68" s="48" t="e">
        <f>Table42[[#This Row],[Column11]]/'17'!F$15</f>
        <v>#DIV/0!</v>
      </c>
      <c r="K68" s="47">
        <f>Financials!G44</f>
        <v>0</v>
      </c>
      <c r="L68" s="37" t="e">
        <f>Table42[[#This Row],[Column10]]</f>
        <v>#DIV/0!</v>
      </c>
      <c r="M68" s="38" t="e">
        <f>Table42[[#This Row],[Column12]]*'17'!G$15</f>
        <v>#DIV/0!</v>
      </c>
      <c r="N68" s="37" t="e">
        <f>Table42[[#This Row],[Column12]]</f>
        <v>#DIV/0!</v>
      </c>
      <c r="O68" s="38" t="e">
        <f>Table42[[#This Row],[Column12]]*'17'!H$15</f>
        <v>#DIV/0!</v>
      </c>
      <c r="P68" s="37" t="e">
        <f>Table42[[#This Row],[Column14]]</f>
        <v>#DIV/0!</v>
      </c>
      <c r="Q68" s="38" t="e">
        <f>Table42[[#This Row],[Column12]]*'17'!I$15</f>
        <v>#DIV/0!</v>
      </c>
      <c r="R68" s="37" t="e">
        <f>P68</f>
        <v>#DIV/0!</v>
      </c>
      <c r="S68" s="38" t="e">
        <f>Table42[[#This Row],[Column12]]*'17'!J$15</f>
        <v>#DIV/0!</v>
      </c>
      <c r="T68" s="37" t="e">
        <f>R68</f>
        <v>#DIV/0!</v>
      </c>
      <c r="U68" s="38" t="e">
        <f>Table42[[#This Row],[Column12]]*'17'!K$15</f>
        <v>#DIV/0!</v>
      </c>
    </row>
    <row r="69" spans="1:21" s="31" customFormat="1" ht="16.5" thickBot="1">
      <c r="A69" s="570" t="s">
        <v>419</v>
      </c>
      <c r="B69" s="571" t="e">
        <f>B67+B68</f>
        <v>#DIV/0!</v>
      </c>
      <c r="C69" s="577">
        <f t="shared" ref="C69:U69" si="12">C67+C68</f>
        <v>0</v>
      </c>
      <c r="D69" s="578" t="e">
        <f t="shared" si="12"/>
        <v>#DIV/0!</v>
      </c>
      <c r="E69" s="577">
        <f t="shared" si="12"/>
        <v>0</v>
      </c>
      <c r="F69" s="578" t="e">
        <f t="shared" si="12"/>
        <v>#DIV/0!</v>
      </c>
      <c r="G69" s="577">
        <f t="shared" si="12"/>
        <v>0</v>
      </c>
      <c r="H69" s="578" t="e">
        <f t="shared" si="12"/>
        <v>#DIV/0!</v>
      </c>
      <c r="I69" s="577">
        <f t="shared" si="12"/>
        <v>0</v>
      </c>
      <c r="J69" s="578" t="e">
        <f t="shared" si="12"/>
        <v>#DIV/0!</v>
      </c>
      <c r="K69" s="579">
        <f t="shared" si="12"/>
        <v>0</v>
      </c>
      <c r="L69" s="34" t="e">
        <f>Table42[[#This Row],[Column10]]</f>
        <v>#DIV/0!</v>
      </c>
      <c r="M69" s="35" t="e">
        <f t="shared" si="12"/>
        <v>#DIV/0!</v>
      </c>
      <c r="N69" s="34" t="e">
        <f>N67+N68</f>
        <v>#DIV/0!</v>
      </c>
      <c r="O69" s="35" t="e">
        <f t="shared" si="12"/>
        <v>#DIV/0!</v>
      </c>
      <c r="P69" s="34" t="e">
        <f>P67+P68</f>
        <v>#DIV/0!</v>
      </c>
      <c r="Q69" s="35" t="e">
        <f t="shared" si="12"/>
        <v>#DIV/0!</v>
      </c>
      <c r="R69" s="34" t="e">
        <f>R67+R68</f>
        <v>#DIV/0!</v>
      </c>
      <c r="S69" s="35" t="e">
        <f t="shared" si="12"/>
        <v>#DIV/0!</v>
      </c>
      <c r="T69" s="34" t="e">
        <f>T67+T68</f>
        <v>#DIV/0!</v>
      </c>
      <c r="U69" s="35" t="e">
        <f t="shared" si="12"/>
        <v>#DIV/0!</v>
      </c>
    </row>
    <row r="70" spans="1:21" s="31" customFormat="1" ht="15.75">
      <c r="B70" s="32"/>
      <c r="C70" s="49"/>
      <c r="D70" s="50"/>
      <c r="E70" s="49"/>
      <c r="F70" s="50"/>
      <c r="G70" s="49"/>
      <c r="H70" s="50"/>
      <c r="I70" s="49"/>
      <c r="J70" s="50"/>
      <c r="K70" s="49"/>
      <c r="L70" s="34"/>
      <c r="M70" s="35"/>
      <c r="N70" s="34"/>
      <c r="O70" s="35"/>
      <c r="P70" s="34"/>
      <c r="Q70" s="35"/>
      <c r="R70" s="34"/>
      <c r="S70" s="35"/>
      <c r="T70" s="34"/>
      <c r="U70" s="35"/>
    </row>
    <row r="71" spans="1:21" s="31" customFormat="1" ht="15.75">
      <c r="A71" s="31" t="s">
        <v>420</v>
      </c>
      <c r="B71" s="32"/>
      <c r="C71" s="49"/>
      <c r="D71" s="50"/>
      <c r="E71" s="49"/>
      <c r="F71" s="50"/>
      <c r="G71" s="49"/>
      <c r="H71" s="50"/>
      <c r="I71" s="49"/>
      <c r="J71" s="50"/>
      <c r="K71" s="49"/>
      <c r="L71" s="34"/>
      <c r="M71" s="35"/>
      <c r="N71" s="34"/>
      <c r="O71" s="35"/>
      <c r="P71" s="34"/>
      <c r="Q71" s="35"/>
      <c r="R71" s="34"/>
      <c r="S71" s="35"/>
      <c r="T71" s="34"/>
      <c r="U71" s="35"/>
    </row>
    <row r="72" spans="1:21">
      <c r="A72" s="18" t="s">
        <v>380</v>
      </c>
      <c r="B72" s="43" t="e">
        <f>Table42[[#This Row],[Column3]]/'17'!B$15</f>
        <v>#DIV/0!</v>
      </c>
      <c r="C72" s="47">
        <f>'21'!E11</f>
        <v>0</v>
      </c>
      <c r="D72" s="48" t="e">
        <f>Table42[[#This Row],[Column5]]/'17'!C$15</f>
        <v>#DIV/0!</v>
      </c>
      <c r="E72" s="47">
        <f>'21'!F11</f>
        <v>0</v>
      </c>
      <c r="F72" s="48" t="e">
        <f>Table42[[#This Row],[Column7]]/'17'!D$15</f>
        <v>#DIV/0!</v>
      </c>
      <c r="G72" s="47">
        <f>'21'!G11</f>
        <v>0</v>
      </c>
      <c r="H72" s="48" t="e">
        <f>Table42[[#This Row],[Column9]]/'17'!E$15</f>
        <v>#DIV/0!</v>
      </c>
      <c r="I72" s="47">
        <f>'21'!H11</f>
        <v>0</v>
      </c>
      <c r="J72" s="48" t="e">
        <f>Table42[[#This Row],[Column11]]/'17'!F$15</f>
        <v>#DIV/0!</v>
      </c>
      <c r="K72" s="47">
        <f>'21'!I11</f>
        <v>0</v>
      </c>
      <c r="L72" s="37" t="e">
        <f>Table42[[#This Row],[Column13]]/'17'!G$15</f>
        <v>#DIV/0!</v>
      </c>
      <c r="M72" s="38">
        <f>'21'!J11</f>
        <v>0</v>
      </c>
      <c r="N72" s="37" t="e">
        <f>Table42[[#This Row],[Column15]]/'17'!H15</f>
        <v>#DIV/0!</v>
      </c>
      <c r="O72" s="38">
        <f>'21'!K11</f>
        <v>0</v>
      </c>
      <c r="P72" s="37" t="e">
        <f>Q72/'17'!I$15</f>
        <v>#DIV/0!</v>
      </c>
      <c r="Q72" s="38">
        <f>'21'!L11</f>
        <v>0</v>
      </c>
      <c r="R72" s="37" t="e">
        <f>S72/'17'!J$15</f>
        <v>#DIV/0!</v>
      </c>
      <c r="S72" s="38">
        <f>'21'!M11</f>
        <v>0</v>
      </c>
      <c r="T72" s="37" t="e">
        <f>U72/'17'!K$15</f>
        <v>#DIV/0!</v>
      </c>
      <c r="U72" s="38">
        <f>'21'!N11</f>
        <v>0</v>
      </c>
    </row>
    <row r="73" spans="1:21">
      <c r="A73" s="18" t="s">
        <v>213</v>
      </c>
      <c r="B73" s="43" t="e">
        <f>Table42[[#This Row],[Column3]]/'17'!B$15</f>
        <v>#DIV/0!</v>
      </c>
      <c r="C73" s="47">
        <f>Financials!C45</f>
        <v>0</v>
      </c>
      <c r="D73" s="48" t="e">
        <f>Table42[[#This Row],[Column5]]/'17'!C$15</f>
        <v>#DIV/0!</v>
      </c>
      <c r="E73" s="47">
        <f>Financials!D45</f>
        <v>0</v>
      </c>
      <c r="F73" s="48" t="e">
        <f>Table42[[#This Row],[Column7]]/'17'!D$15</f>
        <v>#DIV/0!</v>
      </c>
      <c r="G73" s="47">
        <f>Financials!E45</f>
        <v>0</v>
      </c>
      <c r="H73" s="48" t="e">
        <f>Table42[[#This Row],[Column9]]/'17'!E$15</f>
        <v>#DIV/0!</v>
      </c>
      <c r="I73" s="47">
        <f>Financials!F45</f>
        <v>0</v>
      </c>
      <c r="J73" s="48" t="e">
        <f>Table42[[#This Row],[Column11]]/'17'!F$15</f>
        <v>#DIV/0!</v>
      </c>
      <c r="K73" s="47">
        <f>Financials!G45</f>
        <v>0</v>
      </c>
      <c r="L73" s="37" t="e">
        <f>Table42[[#This Row],[Column10]]</f>
        <v>#DIV/0!</v>
      </c>
      <c r="M73" s="38" t="e">
        <f>Table42[[#This Row],[Column12]]*'17'!G15</f>
        <v>#DIV/0!</v>
      </c>
      <c r="N73" s="37" t="e">
        <f>Table42[[#This Row],[Column12]]</f>
        <v>#DIV/0!</v>
      </c>
      <c r="O73" s="38" t="e">
        <f>Table42[[#This Row],[Column14]]*'17'!H15</f>
        <v>#DIV/0!</v>
      </c>
      <c r="P73" s="37" t="e">
        <f>Table42[[#This Row],[Column14]]</f>
        <v>#DIV/0!</v>
      </c>
      <c r="Q73" s="38" t="e">
        <f>P73*'17'!I15</f>
        <v>#DIV/0!</v>
      </c>
      <c r="R73" s="37" t="e">
        <f>P73</f>
        <v>#DIV/0!</v>
      </c>
      <c r="S73" s="38" t="e">
        <f>R73*'17'!J15</f>
        <v>#DIV/0!</v>
      </c>
      <c r="T73" s="37" t="e">
        <f>R73</f>
        <v>#DIV/0!</v>
      </c>
      <c r="U73" s="38" t="e">
        <f>T73*'17'!K15</f>
        <v>#DIV/0!</v>
      </c>
    </row>
    <row r="74" spans="1:21" s="31" customFormat="1" ht="16.5" thickBot="1">
      <c r="A74" s="570" t="s">
        <v>421</v>
      </c>
      <c r="B74" s="571" t="e">
        <f>B72+B73</f>
        <v>#DIV/0!</v>
      </c>
      <c r="C74" s="577">
        <f t="shared" ref="C74:U74" si="13">C72+C73</f>
        <v>0</v>
      </c>
      <c r="D74" s="578" t="e">
        <f t="shared" si="13"/>
        <v>#DIV/0!</v>
      </c>
      <c r="E74" s="577">
        <f t="shared" si="13"/>
        <v>0</v>
      </c>
      <c r="F74" s="578" t="e">
        <f t="shared" si="13"/>
        <v>#DIV/0!</v>
      </c>
      <c r="G74" s="577">
        <f t="shared" si="13"/>
        <v>0</v>
      </c>
      <c r="H74" s="578" t="e">
        <f t="shared" si="13"/>
        <v>#DIV/0!</v>
      </c>
      <c r="I74" s="577">
        <f t="shared" si="13"/>
        <v>0</v>
      </c>
      <c r="J74" s="578" t="e">
        <f t="shared" si="13"/>
        <v>#DIV/0!</v>
      </c>
      <c r="K74" s="579">
        <f t="shared" si="13"/>
        <v>0</v>
      </c>
      <c r="L74" s="34" t="e">
        <f t="shared" si="13"/>
        <v>#DIV/0!</v>
      </c>
      <c r="M74" s="35" t="e">
        <f t="shared" si="13"/>
        <v>#DIV/0!</v>
      </c>
      <c r="N74" s="34" t="e">
        <f t="shared" si="13"/>
        <v>#DIV/0!</v>
      </c>
      <c r="O74" s="35" t="e">
        <f t="shared" si="13"/>
        <v>#DIV/0!</v>
      </c>
      <c r="P74" s="34" t="e">
        <f t="shared" si="13"/>
        <v>#DIV/0!</v>
      </c>
      <c r="Q74" s="35" t="e">
        <f t="shared" si="13"/>
        <v>#DIV/0!</v>
      </c>
      <c r="R74" s="34" t="e">
        <f t="shared" si="13"/>
        <v>#DIV/0!</v>
      </c>
      <c r="S74" s="35" t="e">
        <f t="shared" si="13"/>
        <v>#DIV/0!</v>
      </c>
      <c r="T74" s="34" t="e">
        <f t="shared" si="13"/>
        <v>#DIV/0!</v>
      </c>
      <c r="U74" s="35" t="e">
        <f t="shared" si="13"/>
        <v>#DIV/0!</v>
      </c>
    </row>
  </sheetData>
  <sheetProtection password="DA39" sheet="1" objects="1" scenarios="1" selectLockedCells="1"/>
  <mergeCells count="1">
    <mergeCell ref="A1:K1"/>
  </mergeCells>
  <printOptions horizontalCentered="1"/>
  <pageMargins left="0.25" right="0.25" top="0.75" bottom="0.75" header="0.3" footer="0.3"/>
  <pageSetup scale="80" orientation="landscape" horizontalDpi="300" verticalDpi="300" r:id="rId1"/>
  <headerFooter>
    <oddFooter>&amp;L&amp;F&amp;C&amp;P of &amp;N&amp;R&amp;A</oddFooter>
  </headerFooter>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dimension ref="A2:AK106"/>
  <sheetViews>
    <sheetView showGridLines="0" workbookViewId="0">
      <selection activeCell="C9" sqref="C9"/>
    </sheetView>
  </sheetViews>
  <sheetFormatPr defaultRowHeight="15"/>
  <cols>
    <col min="1" max="1" width="27.28515625" style="383" customWidth="1"/>
    <col min="2" max="2" width="10.7109375" style="18" bestFit="1" customWidth="1"/>
    <col min="3" max="3" width="13.140625" style="18" customWidth="1"/>
    <col min="4" max="4" width="14.7109375" style="18" hidden="1" customWidth="1"/>
    <col min="5" max="5" width="10.140625" style="18" customWidth="1"/>
    <col min="6" max="6" width="12.85546875" style="18" hidden="1" customWidth="1"/>
    <col min="7" max="7" width="9.28515625" style="20" bestFit="1" customWidth="1"/>
    <col min="8" max="8" width="11.140625" style="18" bestFit="1" customWidth="1"/>
    <col min="9" max="9" width="8.85546875" style="18" hidden="1" customWidth="1"/>
    <col min="10" max="10" width="9.85546875" style="18" customWidth="1"/>
    <col min="11" max="11" width="12.85546875" style="18" hidden="1" customWidth="1"/>
    <col min="12" max="12" width="9.28515625" style="18" bestFit="1" customWidth="1"/>
    <col min="13" max="13" width="11.140625" style="18" bestFit="1" customWidth="1"/>
    <col min="14" max="14" width="8.85546875" style="18" hidden="1" customWidth="1"/>
    <col min="15" max="15" width="11.140625" style="18" bestFit="1" customWidth="1"/>
    <col min="16" max="16" width="12.85546875" style="18" hidden="1" customWidth="1"/>
    <col min="17" max="17" width="9.28515625" style="18" bestFit="1" customWidth="1"/>
    <col min="18" max="18" width="11.140625" style="18" bestFit="1" customWidth="1"/>
    <col min="19" max="19" width="8.85546875" style="18" hidden="1" customWidth="1"/>
    <col min="20" max="20" width="11.140625" style="18" bestFit="1" customWidth="1"/>
    <col min="21" max="21" width="12.85546875" style="18" hidden="1" customWidth="1"/>
    <col min="22" max="22" width="9.42578125" style="18" bestFit="1" customWidth="1"/>
    <col min="23" max="23" width="11.140625" style="18" bestFit="1" customWidth="1"/>
    <col min="24" max="24" width="8.28515625" style="18" bestFit="1" customWidth="1"/>
    <col min="25" max="25" width="9.85546875" style="18" bestFit="1" customWidth="1"/>
    <col min="26" max="26" width="9.28515625" style="18" hidden="1" customWidth="1"/>
    <col min="27" max="27" width="9.7109375" style="18" hidden="1" customWidth="1"/>
    <col min="28" max="28" width="11.42578125" style="18" hidden="1" customWidth="1"/>
    <col min="29" max="29" width="9.28515625" style="18" hidden="1" customWidth="1"/>
    <col min="30" max="30" width="9.7109375" style="18" hidden="1" customWidth="1"/>
    <col min="31" max="33" width="9.28515625" style="18" hidden="1" customWidth="1"/>
    <col min="34" max="37" width="0" style="18" hidden="1" customWidth="1"/>
    <col min="38" max="16384" width="9.140625" style="18"/>
  </cols>
  <sheetData>
    <row r="2" spans="1:28" ht="29.25" customHeight="1">
      <c r="A2" s="778" t="s">
        <v>455</v>
      </c>
      <c r="B2" s="779"/>
      <c r="C2" s="779"/>
      <c r="D2" s="779"/>
      <c r="E2" s="779"/>
      <c r="F2" s="779"/>
      <c r="G2" s="779"/>
      <c r="H2" s="779"/>
      <c r="I2" s="779"/>
      <c r="J2" s="779"/>
      <c r="K2" s="779"/>
      <c r="L2" s="779"/>
      <c r="M2" s="779"/>
      <c r="N2" s="779"/>
      <c r="O2" s="779"/>
      <c r="P2" s="779"/>
      <c r="Q2" s="779"/>
      <c r="R2" s="779"/>
      <c r="S2" s="779"/>
      <c r="T2" s="779"/>
      <c r="U2" s="779"/>
      <c r="V2" s="779"/>
      <c r="W2" s="779"/>
      <c r="X2" s="779"/>
      <c r="Y2" s="779"/>
    </row>
    <row r="4" spans="1:28" ht="32.25" customHeight="1" thickBot="1">
      <c r="A4" s="770" t="s">
        <v>626</v>
      </c>
      <c r="B4" s="770"/>
      <c r="C4" s="780" t="s">
        <v>475</v>
      </c>
      <c r="D4" s="780"/>
      <c r="E4" s="780"/>
      <c r="F4" s="780"/>
      <c r="G4" s="780"/>
      <c r="H4" s="780"/>
      <c r="I4" s="780"/>
      <c r="J4" s="780"/>
      <c r="K4" s="780"/>
      <c r="L4" s="780"/>
      <c r="M4" s="780"/>
      <c r="N4" s="780"/>
      <c r="O4" s="780"/>
      <c r="P4" s="780"/>
      <c r="Q4" s="780"/>
      <c r="R4" s="780"/>
      <c r="S4" s="780"/>
      <c r="T4" s="780"/>
      <c r="U4" s="780"/>
      <c r="V4" s="780"/>
      <c r="W4" s="780"/>
      <c r="X4" s="780"/>
      <c r="Y4" s="780"/>
      <c r="Z4" s="780"/>
      <c r="AA4" s="780"/>
      <c r="AB4" s="780"/>
    </row>
    <row r="5" spans="1:28" ht="15.75">
      <c r="A5" s="642" t="s">
        <v>187</v>
      </c>
      <c r="B5" s="433" t="s">
        <v>185</v>
      </c>
      <c r="C5" s="433"/>
      <c r="D5" s="433"/>
      <c r="E5" s="433"/>
      <c r="F5" s="433"/>
      <c r="G5" s="433" t="s">
        <v>185</v>
      </c>
      <c r="H5" s="433"/>
      <c r="I5" s="433"/>
      <c r="J5" s="433"/>
      <c r="K5" s="433"/>
      <c r="L5" s="433" t="s">
        <v>185</v>
      </c>
      <c r="M5" s="433"/>
      <c r="N5" s="433"/>
      <c r="O5" s="433"/>
      <c r="P5" s="433"/>
      <c r="Q5" s="433" t="s">
        <v>185</v>
      </c>
      <c r="R5" s="433"/>
      <c r="S5" s="433"/>
      <c r="T5" s="433"/>
      <c r="U5" s="433"/>
      <c r="V5" s="433" t="s">
        <v>185</v>
      </c>
      <c r="W5" s="434" t="s">
        <v>186</v>
      </c>
      <c r="X5" s="781" t="s">
        <v>195</v>
      </c>
      <c r="Y5" s="782"/>
      <c r="Z5" s="700" t="s">
        <v>186</v>
      </c>
      <c r="AA5" s="434" t="s">
        <v>186</v>
      </c>
      <c r="AB5" s="701" t="s">
        <v>186</v>
      </c>
    </row>
    <row r="6" spans="1:28" ht="15.75">
      <c r="A6" s="641"/>
      <c r="B6" s="626" t="s">
        <v>188</v>
      </c>
      <c r="C6" s="626" t="s">
        <v>456</v>
      </c>
      <c r="D6" s="626"/>
      <c r="E6" s="626" t="s">
        <v>198</v>
      </c>
      <c r="F6" s="626"/>
      <c r="G6" s="626" t="s">
        <v>188</v>
      </c>
      <c r="H6" s="626" t="s">
        <v>456</v>
      </c>
      <c r="I6" s="626"/>
      <c r="J6" s="626" t="s">
        <v>198</v>
      </c>
      <c r="K6" s="626"/>
      <c r="L6" s="626" t="s">
        <v>188</v>
      </c>
      <c r="M6" s="626" t="s">
        <v>456</v>
      </c>
      <c r="N6" s="626"/>
      <c r="O6" s="626" t="s">
        <v>198</v>
      </c>
      <c r="P6" s="626"/>
      <c r="Q6" s="626" t="s">
        <v>188</v>
      </c>
      <c r="R6" s="626" t="s">
        <v>456</v>
      </c>
      <c r="S6" s="626"/>
      <c r="T6" s="626" t="s">
        <v>198</v>
      </c>
      <c r="U6" s="626"/>
      <c r="V6" s="626" t="s">
        <v>188</v>
      </c>
      <c r="W6" s="627" t="s">
        <v>189</v>
      </c>
      <c r="X6" s="440" t="s">
        <v>190</v>
      </c>
      <c r="Y6" s="699" t="s">
        <v>191</v>
      </c>
      <c r="Z6" s="702" t="s">
        <v>188</v>
      </c>
      <c r="AA6" s="626" t="s">
        <v>188</v>
      </c>
      <c r="AB6" s="703" t="s">
        <v>188</v>
      </c>
    </row>
    <row r="7" spans="1:28" ht="16.5" thickBot="1">
      <c r="A7" s="643" t="s">
        <v>282</v>
      </c>
      <c r="B7" s="918"/>
      <c r="C7" s="919"/>
      <c r="D7" s="919"/>
      <c r="E7" s="920"/>
      <c r="F7" s="921"/>
      <c r="G7" s="918"/>
      <c r="H7" s="919"/>
      <c r="I7" s="919"/>
      <c r="J7" s="920"/>
      <c r="K7" s="921"/>
      <c r="L7" s="918"/>
      <c r="M7" s="919"/>
      <c r="N7" s="919"/>
      <c r="O7" s="920"/>
      <c r="P7" s="921"/>
      <c r="Q7" s="918"/>
      <c r="R7" s="919"/>
      <c r="S7" s="919"/>
      <c r="T7" s="920"/>
      <c r="U7" s="959"/>
      <c r="V7" s="959"/>
      <c r="W7" s="410"/>
      <c r="X7" s="960"/>
      <c r="Y7" s="759"/>
      <c r="Z7" s="704">
        <f>AA7-1</f>
        <v>-1</v>
      </c>
      <c r="AA7" s="759">
        <f>'1'!B19</f>
        <v>0</v>
      </c>
      <c r="AB7" s="705">
        <f>'1'!B20</f>
        <v>0</v>
      </c>
    </row>
    <row r="8" spans="1:28" ht="15.75">
      <c r="A8" s="435" t="s">
        <v>192</v>
      </c>
      <c r="B8" s="436"/>
      <c r="C8" s="436"/>
      <c r="D8" s="436"/>
      <c r="E8" s="436"/>
      <c r="F8" s="436"/>
      <c r="G8" s="436"/>
      <c r="H8" s="436"/>
      <c r="I8" s="436"/>
      <c r="J8" s="436"/>
      <c r="K8" s="436"/>
      <c r="L8" s="436"/>
      <c r="M8" s="436"/>
      <c r="N8" s="436"/>
      <c r="O8" s="436"/>
      <c r="P8" s="436"/>
      <c r="Q8" s="436"/>
      <c r="R8" s="436"/>
      <c r="S8" s="436"/>
      <c r="T8" s="436"/>
      <c r="U8" s="436"/>
      <c r="V8" s="436"/>
      <c r="W8" s="437"/>
      <c r="X8" s="436"/>
      <c r="Y8" s="940"/>
      <c r="Z8" s="942"/>
      <c r="AA8" s="436"/>
      <c r="AB8" s="943"/>
    </row>
    <row r="9" spans="1:28">
      <c r="A9" s="425"/>
      <c r="B9" s="430"/>
      <c r="C9" s="426"/>
      <c r="D9" s="706">
        <f>B9*C9</f>
        <v>0</v>
      </c>
      <c r="E9" s="430"/>
      <c r="F9" s="706">
        <f t="shared" ref="F9:F14" si="0">B9*C9*E9</f>
        <v>0</v>
      </c>
      <c r="G9" s="430"/>
      <c r="H9" s="426"/>
      <c r="I9" s="706">
        <f>G9*H9</f>
        <v>0</v>
      </c>
      <c r="J9" s="430"/>
      <c r="K9" s="706">
        <f>G9*H9*J9</f>
        <v>0</v>
      </c>
      <c r="L9" s="430"/>
      <c r="M9" s="426"/>
      <c r="N9" s="706">
        <f>L9*M9</f>
        <v>0</v>
      </c>
      <c r="O9" s="430"/>
      <c r="P9" s="706">
        <f>L9*M9*O9</f>
        <v>0</v>
      </c>
      <c r="Q9" s="430"/>
      <c r="R9" s="426"/>
      <c r="S9" s="706">
        <f>Q9*R9</f>
        <v>0</v>
      </c>
      <c r="T9" s="430"/>
      <c r="U9" s="706">
        <f>Q9*R9*T9</f>
        <v>0</v>
      </c>
      <c r="V9" s="430"/>
      <c r="W9" s="426"/>
      <c r="X9" s="430"/>
      <c r="Y9" s="361"/>
      <c r="Z9" s="944">
        <f>$W9*L9</f>
        <v>0</v>
      </c>
      <c r="AA9" s="706">
        <f t="shared" ref="AA9:AA14" si="1">$W9*G9</f>
        <v>0</v>
      </c>
      <c r="AB9" s="945">
        <f t="shared" ref="AB9:AB14" si="2">$W9*B9</f>
        <v>0</v>
      </c>
    </row>
    <row r="10" spans="1:28">
      <c r="A10" s="425"/>
      <c r="B10" s="430"/>
      <c r="C10" s="426"/>
      <c r="D10" s="706">
        <f t="shared" ref="D10:D25" si="3">B10*C10</f>
        <v>0</v>
      </c>
      <c r="E10" s="430"/>
      <c r="F10" s="706">
        <f t="shared" si="0"/>
        <v>0</v>
      </c>
      <c r="G10" s="430"/>
      <c r="H10" s="426"/>
      <c r="I10" s="706">
        <f t="shared" ref="I10:I25" si="4">G10*H10</f>
        <v>0</v>
      </c>
      <c r="J10" s="430"/>
      <c r="K10" s="706">
        <f t="shared" ref="K10:K25" si="5">G10*H10*J10</f>
        <v>0</v>
      </c>
      <c r="L10" s="430"/>
      <c r="M10" s="426"/>
      <c r="N10" s="706">
        <f t="shared" ref="N10:N25" si="6">L10*M10</f>
        <v>0</v>
      </c>
      <c r="O10" s="430"/>
      <c r="P10" s="706">
        <f t="shared" ref="P10:P25" si="7">L10*M10*O10</f>
        <v>0</v>
      </c>
      <c r="Q10" s="430"/>
      <c r="R10" s="426"/>
      <c r="S10" s="706">
        <f t="shared" ref="S10:S25" si="8">Q10*R10</f>
        <v>0</v>
      </c>
      <c r="T10" s="430"/>
      <c r="U10" s="706">
        <f t="shared" ref="U10:U25" si="9">Q10*R10*T10</f>
        <v>0</v>
      </c>
      <c r="V10" s="430"/>
      <c r="W10" s="426"/>
      <c r="X10" s="430"/>
      <c r="Y10" s="361"/>
      <c r="Z10" s="944">
        <f t="shared" ref="Z10:Z25" si="10">$W10*L10</f>
        <v>0</v>
      </c>
      <c r="AA10" s="706">
        <f t="shared" si="1"/>
        <v>0</v>
      </c>
      <c r="AB10" s="945">
        <f t="shared" si="2"/>
        <v>0</v>
      </c>
    </row>
    <row r="11" spans="1:28">
      <c r="A11" s="425"/>
      <c r="B11" s="430"/>
      <c r="C11" s="426"/>
      <c r="D11" s="706">
        <f t="shared" si="3"/>
        <v>0</v>
      </c>
      <c r="E11" s="430"/>
      <c r="F11" s="706">
        <f t="shared" si="0"/>
        <v>0</v>
      </c>
      <c r="G11" s="430"/>
      <c r="H11" s="426"/>
      <c r="I11" s="706">
        <f t="shared" si="4"/>
        <v>0</v>
      </c>
      <c r="J11" s="430"/>
      <c r="K11" s="706">
        <f t="shared" si="5"/>
        <v>0</v>
      </c>
      <c r="L11" s="430"/>
      <c r="M11" s="426"/>
      <c r="N11" s="706">
        <f t="shared" si="6"/>
        <v>0</v>
      </c>
      <c r="O11" s="430"/>
      <c r="P11" s="706">
        <f t="shared" si="7"/>
        <v>0</v>
      </c>
      <c r="Q11" s="430"/>
      <c r="R11" s="426"/>
      <c r="S11" s="706">
        <f t="shared" si="8"/>
        <v>0</v>
      </c>
      <c r="T11" s="430"/>
      <c r="U11" s="706">
        <f t="shared" si="9"/>
        <v>0</v>
      </c>
      <c r="V11" s="430"/>
      <c r="W11" s="426"/>
      <c r="X11" s="430"/>
      <c r="Y11" s="361"/>
      <c r="Z11" s="944">
        <f t="shared" si="10"/>
        <v>0</v>
      </c>
      <c r="AA11" s="706">
        <f t="shared" si="1"/>
        <v>0</v>
      </c>
      <c r="AB11" s="945">
        <f t="shared" si="2"/>
        <v>0</v>
      </c>
    </row>
    <row r="12" spans="1:28">
      <c r="A12" s="425"/>
      <c r="B12" s="430"/>
      <c r="C12" s="426"/>
      <c r="D12" s="706">
        <f t="shared" si="3"/>
        <v>0</v>
      </c>
      <c r="E12" s="430"/>
      <c r="F12" s="706">
        <f t="shared" si="0"/>
        <v>0</v>
      </c>
      <c r="G12" s="430"/>
      <c r="H12" s="426"/>
      <c r="I12" s="706">
        <f t="shared" si="4"/>
        <v>0</v>
      </c>
      <c r="J12" s="430"/>
      <c r="K12" s="706">
        <f t="shared" si="5"/>
        <v>0</v>
      </c>
      <c r="L12" s="430"/>
      <c r="M12" s="426"/>
      <c r="N12" s="706">
        <f t="shared" si="6"/>
        <v>0</v>
      </c>
      <c r="O12" s="430"/>
      <c r="P12" s="706">
        <f t="shared" si="7"/>
        <v>0</v>
      </c>
      <c r="Q12" s="430"/>
      <c r="R12" s="426"/>
      <c r="S12" s="706">
        <f t="shared" si="8"/>
        <v>0</v>
      </c>
      <c r="T12" s="430"/>
      <c r="U12" s="706">
        <f t="shared" si="9"/>
        <v>0</v>
      </c>
      <c r="V12" s="430"/>
      <c r="W12" s="426"/>
      <c r="X12" s="430"/>
      <c r="Y12" s="361"/>
      <c r="Z12" s="944">
        <f t="shared" si="10"/>
        <v>0</v>
      </c>
      <c r="AA12" s="706">
        <f t="shared" si="1"/>
        <v>0</v>
      </c>
      <c r="AB12" s="945">
        <f t="shared" si="2"/>
        <v>0</v>
      </c>
    </row>
    <row r="13" spans="1:28">
      <c r="A13" s="425"/>
      <c r="B13" s="430"/>
      <c r="C13" s="426"/>
      <c r="D13" s="706">
        <f t="shared" si="3"/>
        <v>0</v>
      </c>
      <c r="E13" s="430"/>
      <c r="F13" s="706">
        <f t="shared" si="0"/>
        <v>0</v>
      </c>
      <c r="G13" s="430"/>
      <c r="H13" s="426"/>
      <c r="I13" s="706">
        <f t="shared" si="4"/>
        <v>0</v>
      </c>
      <c r="J13" s="430"/>
      <c r="K13" s="706">
        <f t="shared" si="5"/>
        <v>0</v>
      </c>
      <c r="L13" s="430"/>
      <c r="M13" s="426"/>
      <c r="N13" s="706">
        <f t="shared" si="6"/>
        <v>0</v>
      </c>
      <c r="O13" s="430"/>
      <c r="P13" s="706">
        <f t="shared" si="7"/>
        <v>0</v>
      </c>
      <c r="Q13" s="430"/>
      <c r="R13" s="426"/>
      <c r="S13" s="706">
        <f t="shared" si="8"/>
        <v>0</v>
      </c>
      <c r="T13" s="430"/>
      <c r="U13" s="706">
        <f t="shared" si="9"/>
        <v>0</v>
      </c>
      <c r="V13" s="430"/>
      <c r="W13" s="426"/>
      <c r="X13" s="430"/>
      <c r="Y13" s="361"/>
      <c r="Z13" s="944">
        <f t="shared" si="10"/>
        <v>0</v>
      </c>
      <c r="AA13" s="706">
        <f t="shared" si="1"/>
        <v>0</v>
      </c>
      <c r="AB13" s="945">
        <f t="shared" si="2"/>
        <v>0</v>
      </c>
    </row>
    <row r="14" spans="1:28">
      <c r="A14" s="425"/>
      <c r="B14" s="430"/>
      <c r="C14" s="426"/>
      <c r="D14" s="706">
        <f t="shared" si="3"/>
        <v>0</v>
      </c>
      <c r="E14" s="430"/>
      <c r="F14" s="706">
        <f t="shared" si="0"/>
        <v>0</v>
      </c>
      <c r="G14" s="430"/>
      <c r="H14" s="426"/>
      <c r="I14" s="706">
        <f t="shared" si="4"/>
        <v>0</v>
      </c>
      <c r="J14" s="430"/>
      <c r="K14" s="706">
        <f t="shared" si="5"/>
        <v>0</v>
      </c>
      <c r="L14" s="430"/>
      <c r="M14" s="426"/>
      <c r="N14" s="706">
        <f t="shared" si="6"/>
        <v>0</v>
      </c>
      <c r="O14" s="430"/>
      <c r="P14" s="706">
        <f t="shared" si="7"/>
        <v>0</v>
      </c>
      <c r="Q14" s="430"/>
      <c r="R14" s="426"/>
      <c r="S14" s="706">
        <f t="shared" si="8"/>
        <v>0</v>
      </c>
      <c r="T14" s="430"/>
      <c r="U14" s="706">
        <f t="shared" si="9"/>
        <v>0</v>
      </c>
      <c r="V14" s="430"/>
      <c r="W14" s="426"/>
      <c r="X14" s="430"/>
      <c r="Y14" s="361"/>
      <c r="Z14" s="944">
        <f t="shared" si="10"/>
        <v>0</v>
      </c>
      <c r="AA14" s="706">
        <f t="shared" si="1"/>
        <v>0</v>
      </c>
      <c r="AB14" s="945">
        <f t="shared" si="2"/>
        <v>0</v>
      </c>
    </row>
    <row r="15" spans="1:28" ht="15.75">
      <c r="A15" s="438" t="s">
        <v>193</v>
      </c>
      <c r="B15" s="415"/>
      <c r="C15" s="439"/>
      <c r="D15" s="739"/>
      <c r="E15" s="415"/>
      <c r="F15" s="706"/>
      <c r="G15" s="415"/>
      <c r="H15" s="439"/>
      <c r="I15" s="739"/>
      <c r="J15" s="415"/>
      <c r="K15" s="706"/>
      <c r="L15" s="415"/>
      <c r="M15" s="439"/>
      <c r="N15" s="739"/>
      <c r="O15" s="415"/>
      <c r="P15" s="706"/>
      <c r="Q15" s="415"/>
      <c r="R15" s="439"/>
      <c r="S15" s="739"/>
      <c r="T15" s="415"/>
      <c r="U15" s="706"/>
      <c r="V15" s="415"/>
      <c r="W15" s="439"/>
      <c r="X15" s="415"/>
      <c r="Y15" s="400"/>
      <c r="Z15" s="944"/>
      <c r="AA15" s="706"/>
      <c r="AB15" s="945"/>
    </row>
    <row r="16" spans="1:28">
      <c r="A16" s="425"/>
      <c r="B16" s="430"/>
      <c r="C16" s="426"/>
      <c r="D16" s="706">
        <f t="shared" si="3"/>
        <v>0</v>
      </c>
      <c r="E16" s="430"/>
      <c r="F16" s="706">
        <f t="shared" ref="F16:F25" si="11">B16*C16*E16</f>
        <v>0</v>
      </c>
      <c r="G16" s="430"/>
      <c r="H16" s="426"/>
      <c r="I16" s="706">
        <f t="shared" si="4"/>
        <v>0</v>
      </c>
      <c r="J16" s="430"/>
      <c r="K16" s="706">
        <f t="shared" si="5"/>
        <v>0</v>
      </c>
      <c r="L16" s="430"/>
      <c r="M16" s="426"/>
      <c r="N16" s="706">
        <f t="shared" si="6"/>
        <v>0</v>
      </c>
      <c r="O16" s="430"/>
      <c r="P16" s="706">
        <f t="shared" si="7"/>
        <v>0</v>
      </c>
      <c r="Q16" s="430"/>
      <c r="R16" s="426"/>
      <c r="S16" s="706">
        <f t="shared" si="8"/>
        <v>0</v>
      </c>
      <c r="T16" s="430"/>
      <c r="U16" s="706">
        <f t="shared" si="9"/>
        <v>0</v>
      </c>
      <c r="V16" s="430"/>
      <c r="W16" s="426"/>
      <c r="X16" s="430"/>
      <c r="Y16" s="361"/>
      <c r="Z16" s="944">
        <f t="shared" si="10"/>
        <v>0</v>
      </c>
      <c r="AA16" s="706">
        <f t="shared" ref="AA16:AA25" si="12">$W16*G16</f>
        <v>0</v>
      </c>
      <c r="AB16" s="945">
        <f t="shared" ref="AB16:AB25" si="13">$W16*B16</f>
        <v>0</v>
      </c>
    </row>
    <row r="17" spans="1:37">
      <c r="A17" s="425"/>
      <c r="B17" s="430"/>
      <c r="C17" s="426"/>
      <c r="D17" s="706">
        <f t="shared" si="3"/>
        <v>0</v>
      </c>
      <c r="E17" s="430"/>
      <c r="F17" s="706">
        <f t="shared" si="11"/>
        <v>0</v>
      </c>
      <c r="G17" s="430"/>
      <c r="H17" s="426"/>
      <c r="I17" s="706">
        <f t="shared" si="4"/>
        <v>0</v>
      </c>
      <c r="J17" s="430"/>
      <c r="K17" s="706">
        <f t="shared" si="5"/>
        <v>0</v>
      </c>
      <c r="L17" s="430"/>
      <c r="M17" s="426"/>
      <c r="N17" s="706">
        <f t="shared" si="6"/>
        <v>0</v>
      </c>
      <c r="O17" s="430"/>
      <c r="P17" s="706">
        <f t="shared" si="7"/>
        <v>0</v>
      </c>
      <c r="Q17" s="430"/>
      <c r="R17" s="426"/>
      <c r="S17" s="706">
        <f t="shared" si="8"/>
        <v>0</v>
      </c>
      <c r="T17" s="430"/>
      <c r="U17" s="706">
        <f t="shared" si="9"/>
        <v>0</v>
      </c>
      <c r="V17" s="430"/>
      <c r="W17" s="426"/>
      <c r="X17" s="430"/>
      <c r="Y17" s="361"/>
      <c r="Z17" s="944">
        <f t="shared" si="10"/>
        <v>0</v>
      </c>
      <c r="AA17" s="706">
        <f t="shared" si="12"/>
        <v>0</v>
      </c>
      <c r="AB17" s="945">
        <f t="shared" si="13"/>
        <v>0</v>
      </c>
    </row>
    <row r="18" spans="1:37">
      <c r="A18" s="425"/>
      <c r="B18" s="430"/>
      <c r="C18" s="426"/>
      <c r="D18" s="706">
        <f t="shared" si="3"/>
        <v>0</v>
      </c>
      <c r="E18" s="430"/>
      <c r="F18" s="706">
        <f t="shared" si="11"/>
        <v>0</v>
      </c>
      <c r="G18" s="430"/>
      <c r="H18" s="426"/>
      <c r="I18" s="706">
        <f t="shared" si="4"/>
        <v>0</v>
      </c>
      <c r="J18" s="430"/>
      <c r="K18" s="706">
        <f t="shared" si="5"/>
        <v>0</v>
      </c>
      <c r="L18" s="430"/>
      <c r="M18" s="426"/>
      <c r="N18" s="706">
        <f t="shared" si="6"/>
        <v>0</v>
      </c>
      <c r="O18" s="430"/>
      <c r="P18" s="706">
        <f t="shared" si="7"/>
        <v>0</v>
      </c>
      <c r="Q18" s="430"/>
      <c r="R18" s="426"/>
      <c r="S18" s="706">
        <f t="shared" si="8"/>
        <v>0</v>
      </c>
      <c r="T18" s="430"/>
      <c r="U18" s="706">
        <f t="shared" si="9"/>
        <v>0</v>
      </c>
      <c r="V18" s="430"/>
      <c r="W18" s="426"/>
      <c r="X18" s="430"/>
      <c r="Y18" s="361"/>
      <c r="Z18" s="944">
        <f t="shared" si="10"/>
        <v>0</v>
      </c>
      <c r="AA18" s="706">
        <f t="shared" si="12"/>
        <v>0</v>
      </c>
      <c r="AB18" s="945">
        <f t="shared" si="13"/>
        <v>0</v>
      </c>
    </row>
    <row r="19" spans="1:37">
      <c r="A19" s="425"/>
      <c r="B19" s="430"/>
      <c r="C19" s="426"/>
      <c r="D19" s="706">
        <f t="shared" si="3"/>
        <v>0</v>
      </c>
      <c r="E19" s="430"/>
      <c r="F19" s="706">
        <f t="shared" si="11"/>
        <v>0</v>
      </c>
      <c r="G19" s="430"/>
      <c r="H19" s="426"/>
      <c r="I19" s="706">
        <f t="shared" si="4"/>
        <v>0</v>
      </c>
      <c r="J19" s="430"/>
      <c r="K19" s="706">
        <f t="shared" si="5"/>
        <v>0</v>
      </c>
      <c r="L19" s="430"/>
      <c r="M19" s="426"/>
      <c r="N19" s="706">
        <f t="shared" si="6"/>
        <v>0</v>
      </c>
      <c r="O19" s="430"/>
      <c r="P19" s="706">
        <f t="shared" si="7"/>
        <v>0</v>
      </c>
      <c r="Q19" s="430"/>
      <c r="R19" s="426"/>
      <c r="S19" s="706">
        <f t="shared" si="8"/>
        <v>0</v>
      </c>
      <c r="T19" s="430"/>
      <c r="U19" s="706">
        <f t="shared" si="9"/>
        <v>0</v>
      </c>
      <c r="V19" s="430"/>
      <c r="W19" s="426"/>
      <c r="X19" s="430"/>
      <c r="Y19" s="361"/>
      <c r="Z19" s="944">
        <f t="shared" si="10"/>
        <v>0</v>
      </c>
      <c r="AA19" s="706">
        <f t="shared" si="12"/>
        <v>0</v>
      </c>
      <c r="AB19" s="945">
        <f t="shared" si="13"/>
        <v>0</v>
      </c>
    </row>
    <row r="20" spans="1:37">
      <c r="A20" s="425"/>
      <c r="B20" s="430"/>
      <c r="C20" s="426"/>
      <c r="D20" s="706">
        <f t="shared" si="3"/>
        <v>0</v>
      </c>
      <c r="E20" s="430"/>
      <c r="F20" s="706">
        <f t="shared" si="11"/>
        <v>0</v>
      </c>
      <c r="G20" s="430"/>
      <c r="H20" s="426"/>
      <c r="I20" s="706">
        <f t="shared" si="4"/>
        <v>0</v>
      </c>
      <c r="J20" s="430"/>
      <c r="K20" s="706">
        <f t="shared" si="5"/>
        <v>0</v>
      </c>
      <c r="L20" s="430"/>
      <c r="M20" s="426"/>
      <c r="N20" s="706">
        <f t="shared" si="6"/>
        <v>0</v>
      </c>
      <c r="O20" s="430"/>
      <c r="P20" s="706">
        <f t="shared" si="7"/>
        <v>0</v>
      </c>
      <c r="Q20" s="430"/>
      <c r="R20" s="426"/>
      <c r="S20" s="706">
        <f t="shared" si="8"/>
        <v>0</v>
      </c>
      <c r="T20" s="430"/>
      <c r="U20" s="706">
        <f t="shared" si="9"/>
        <v>0</v>
      </c>
      <c r="V20" s="430"/>
      <c r="W20" s="426"/>
      <c r="X20" s="430"/>
      <c r="Y20" s="361"/>
      <c r="Z20" s="944">
        <f t="shared" si="10"/>
        <v>0</v>
      </c>
      <c r="AA20" s="706">
        <f t="shared" si="12"/>
        <v>0</v>
      </c>
      <c r="AB20" s="945">
        <f t="shared" si="13"/>
        <v>0</v>
      </c>
    </row>
    <row r="21" spans="1:37">
      <c r="A21" s="425"/>
      <c r="B21" s="430"/>
      <c r="C21" s="426"/>
      <c r="D21" s="706">
        <f t="shared" si="3"/>
        <v>0</v>
      </c>
      <c r="E21" s="430"/>
      <c r="F21" s="706">
        <f t="shared" si="11"/>
        <v>0</v>
      </c>
      <c r="G21" s="430"/>
      <c r="H21" s="426"/>
      <c r="I21" s="706">
        <f t="shared" si="4"/>
        <v>0</v>
      </c>
      <c r="J21" s="430"/>
      <c r="K21" s="706">
        <f t="shared" si="5"/>
        <v>0</v>
      </c>
      <c r="L21" s="430"/>
      <c r="M21" s="426"/>
      <c r="N21" s="706">
        <f t="shared" si="6"/>
        <v>0</v>
      </c>
      <c r="O21" s="430"/>
      <c r="P21" s="706">
        <f t="shared" si="7"/>
        <v>0</v>
      </c>
      <c r="Q21" s="430"/>
      <c r="R21" s="426"/>
      <c r="S21" s="706">
        <f t="shared" si="8"/>
        <v>0</v>
      </c>
      <c r="T21" s="430"/>
      <c r="U21" s="706">
        <f t="shared" si="9"/>
        <v>0</v>
      </c>
      <c r="V21" s="430"/>
      <c r="W21" s="426"/>
      <c r="X21" s="430"/>
      <c r="Y21" s="361"/>
      <c r="Z21" s="944">
        <f t="shared" si="10"/>
        <v>0</v>
      </c>
      <c r="AA21" s="706">
        <f t="shared" si="12"/>
        <v>0</v>
      </c>
      <c r="AB21" s="945">
        <f t="shared" si="13"/>
        <v>0</v>
      </c>
    </row>
    <row r="22" spans="1:37">
      <c r="A22" s="425"/>
      <c r="B22" s="430"/>
      <c r="C22" s="426"/>
      <c r="D22" s="706">
        <f t="shared" si="3"/>
        <v>0</v>
      </c>
      <c r="E22" s="430"/>
      <c r="F22" s="706">
        <f t="shared" si="11"/>
        <v>0</v>
      </c>
      <c r="G22" s="430"/>
      <c r="H22" s="426"/>
      <c r="I22" s="706">
        <f t="shared" si="4"/>
        <v>0</v>
      </c>
      <c r="J22" s="430"/>
      <c r="K22" s="706">
        <f t="shared" si="5"/>
        <v>0</v>
      </c>
      <c r="L22" s="430"/>
      <c r="M22" s="426"/>
      <c r="N22" s="706">
        <f t="shared" si="6"/>
        <v>0</v>
      </c>
      <c r="O22" s="430"/>
      <c r="P22" s="706">
        <f t="shared" si="7"/>
        <v>0</v>
      </c>
      <c r="Q22" s="430"/>
      <c r="R22" s="426"/>
      <c r="S22" s="706">
        <f t="shared" si="8"/>
        <v>0</v>
      </c>
      <c r="T22" s="430"/>
      <c r="U22" s="706">
        <f t="shared" si="9"/>
        <v>0</v>
      </c>
      <c r="V22" s="430"/>
      <c r="W22" s="426"/>
      <c r="X22" s="430"/>
      <c r="Y22" s="361"/>
      <c r="Z22" s="944">
        <f t="shared" si="10"/>
        <v>0</v>
      </c>
      <c r="AA22" s="706">
        <f t="shared" si="12"/>
        <v>0</v>
      </c>
      <c r="AB22" s="945">
        <f t="shared" si="13"/>
        <v>0</v>
      </c>
    </row>
    <row r="23" spans="1:37">
      <c r="A23" s="425"/>
      <c r="B23" s="430"/>
      <c r="C23" s="426"/>
      <c r="D23" s="706">
        <f t="shared" si="3"/>
        <v>0</v>
      </c>
      <c r="E23" s="430"/>
      <c r="F23" s="706">
        <f t="shared" si="11"/>
        <v>0</v>
      </c>
      <c r="G23" s="430"/>
      <c r="H23" s="426"/>
      <c r="I23" s="706">
        <f t="shared" si="4"/>
        <v>0</v>
      </c>
      <c r="J23" s="430"/>
      <c r="K23" s="706">
        <f t="shared" si="5"/>
        <v>0</v>
      </c>
      <c r="L23" s="430"/>
      <c r="M23" s="426"/>
      <c r="N23" s="706">
        <f t="shared" si="6"/>
        <v>0</v>
      </c>
      <c r="O23" s="430"/>
      <c r="P23" s="706">
        <f t="shared" si="7"/>
        <v>0</v>
      </c>
      <c r="Q23" s="430"/>
      <c r="R23" s="426"/>
      <c r="S23" s="706">
        <f t="shared" si="8"/>
        <v>0</v>
      </c>
      <c r="T23" s="430"/>
      <c r="U23" s="706">
        <f t="shared" si="9"/>
        <v>0</v>
      </c>
      <c r="V23" s="430"/>
      <c r="W23" s="426"/>
      <c r="X23" s="430"/>
      <c r="Y23" s="361"/>
      <c r="Z23" s="944">
        <f t="shared" si="10"/>
        <v>0</v>
      </c>
      <c r="AA23" s="706">
        <f t="shared" si="12"/>
        <v>0</v>
      </c>
      <c r="AB23" s="945">
        <f t="shared" si="13"/>
        <v>0</v>
      </c>
    </row>
    <row r="24" spans="1:37">
      <c r="A24" s="425"/>
      <c r="B24" s="430"/>
      <c r="C24" s="426"/>
      <c r="D24" s="706">
        <f t="shared" si="3"/>
        <v>0</v>
      </c>
      <c r="E24" s="430"/>
      <c r="F24" s="706">
        <f t="shared" si="11"/>
        <v>0</v>
      </c>
      <c r="G24" s="430"/>
      <c r="H24" s="426"/>
      <c r="I24" s="706">
        <f t="shared" si="4"/>
        <v>0</v>
      </c>
      <c r="J24" s="430"/>
      <c r="K24" s="706">
        <f t="shared" si="5"/>
        <v>0</v>
      </c>
      <c r="L24" s="430"/>
      <c r="M24" s="426"/>
      <c r="N24" s="706">
        <f t="shared" si="6"/>
        <v>0</v>
      </c>
      <c r="O24" s="430"/>
      <c r="P24" s="706">
        <f t="shared" si="7"/>
        <v>0</v>
      </c>
      <c r="Q24" s="430"/>
      <c r="R24" s="426"/>
      <c r="S24" s="706">
        <f t="shared" si="8"/>
        <v>0</v>
      </c>
      <c r="T24" s="430"/>
      <c r="U24" s="706">
        <f t="shared" si="9"/>
        <v>0</v>
      </c>
      <c r="V24" s="430"/>
      <c r="W24" s="426"/>
      <c r="X24" s="430"/>
      <c r="Y24" s="361"/>
      <c r="Z24" s="944">
        <f t="shared" si="10"/>
        <v>0</v>
      </c>
      <c r="AA24" s="706">
        <f t="shared" si="12"/>
        <v>0</v>
      </c>
      <c r="AB24" s="945">
        <f t="shared" si="13"/>
        <v>0</v>
      </c>
    </row>
    <row r="25" spans="1:37">
      <c r="A25" s="425"/>
      <c r="B25" s="430"/>
      <c r="C25" s="426"/>
      <c r="D25" s="706">
        <f t="shared" si="3"/>
        <v>0</v>
      </c>
      <c r="E25" s="430"/>
      <c r="F25" s="706">
        <f t="shared" si="11"/>
        <v>0</v>
      </c>
      <c r="G25" s="430"/>
      <c r="H25" s="426"/>
      <c r="I25" s="706">
        <f t="shared" si="4"/>
        <v>0</v>
      </c>
      <c r="J25" s="430"/>
      <c r="K25" s="706">
        <f t="shared" si="5"/>
        <v>0</v>
      </c>
      <c r="L25" s="430"/>
      <c r="M25" s="426"/>
      <c r="N25" s="706">
        <f t="shared" si="6"/>
        <v>0</v>
      </c>
      <c r="O25" s="430"/>
      <c r="P25" s="706">
        <f t="shared" si="7"/>
        <v>0</v>
      </c>
      <c r="Q25" s="430"/>
      <c r="R25" s="426"/>
      <c r="S25" s="706">
        <f t="shared" si="8"/>
        <v>0</v>
      </c>
      <c r="T25" s="430"/>
      <c r="U25" s="706">
        <f t="shared" si="9"/>
        <v>0</v>
      </c>
      <c r="V25" s="430"/>
      <c r="W25" s="426"/>
      <c r="X25" s="430"/>
      <c r="Y25" s="361"/>
      <c r="Z25" s="944">
        <f t="shared" si="10"/>
        <v>0</v>
      </c>
      <c r="AA25" s="706">
        <f t="shared" si="12"/>
        <v>0</v>
      </c>
      <c r="AB25" s="945">
        <f t="shared" si="13"/>
        <v>0</v>
      </c>
    </row>
    <row r="26" spans="1:37" s="31" customFormat="1" ht="16.5" thickBot="1">
      <c r="A26" s="644" t="s">
        <v>594</v>
      </c>
      <c r="B26" s="707">
        <f>SUM(B9:B25)</f>
        <v>0</v>
      </c>
      <c r="C26" s="714" t="e">
        <f>D26/B26</f>
        <v>#DIV/0!</v>
      </c>
      <c r="D26" s="712">
        <f>SUM(D9:D25)</f>
        <v>0</v>
      </c>
      <c r="E26" s="707" t="e">
        <f>F26/(B26*C26)</f>
        <v>#DIV/0!</v>
      </c>
      <c r="F26" s="707">
        <f>SUM(F9:F25)</f>
        <v>0</v>
      </c>
      <c r="G26" s="707">
        <f>SUM(G9:G25)</f>
        <v>0</v>
      </c>
      <c r="H26" s="713" t="e">
        <f>I26/G26</f>
        <v>#DIV/0!</v>
      </c>
      <c r="I26" s="712">
        <f>SUM(I9:I25)</f>
        <v>0</v>
      </c>
      <c r="J26" s="707" t="e">
        <f>K26/(G26*H26)</f>
        <v>#DIV/0!</v>
      </c>
      <c r="K26" s="707">
        <f>SUM(K9:K25)</f>
        <v>0</v>
      </c>
      <c r="L26" s="707">
        <f>SUM(L9:L25)</f>
        <v>0</v>
      </c>
      <c r="M26" s="713" t="e">
        <f>N26/L26</f>
        <v>#DIV/0!</v>
      </c>
      <c r="N26" s="712">
        <f>SUM(N9:N25)</f>
        <v>0</v>
      </c>
      <c r="O26" s="707" t="e">
        <f>P26/N26</f>
        <v>#DIV/0!</v>
      </c>
      <c r="P26" s="707">
        <f>SUM(P9:P25)</f>
        <v>0</v>
      </c>
      <c r="Q26" s="707">
        <f>SUM(Q9:Q25)</f>
        <v>0</v>
      </c>
      <c r="R26" s="713" t="e">
        <f>S26/Q26</f>
        <v>#DIV/0!</v>
      </c>
      <c r="S26" s="712">
        <f>SUM(S9:S25)</f>
        <v>0</v>
      </c>
      <c r="T26" s="707" t="e">
        <f>U26/S26</f>
        <v>#DIV/0!</v>
      </c>
      <c r="U26" s="707">
        <f>SUM(U9:U25)</f>
        <v>0</v>
      </c>
      <c r="V26" s="707">
        <f>SUM(V9:V25)</f>
        <v>0</v>
      </c>
      <c r="W26" s="708" t="e">
        <f>AB26/B26</f>
        <v>#DIV/0!</v>
      </c>
      <c r="X26" s="707"/>
      <c r="Y26" s="941"/>
      <c r="Z26" s="946">
        <f>SUM(Z9:Z25)</f>
        <v>0</v>
      </c>
      <c r="AA26" s="707">
        <f t="shared" ref="AA26:AB26" si="14">SUM(AA9:AA25)</f>
        <v>0</v>
      </c>
      <c r="AB26" s="947">
        <f t="shared" si="14"/>
        <v>0</v>
      </c>
    </row>
    <row r="27" spans="1:37" ht="15.75">
      <c r="A27" s="647"/>
      <c r="B27" s="648"/>
      <c r="C27" s="648"/>
      <c r="D27" s="648"/>
      <c r="E27" s="648"/>
      <c r="F27" s="648"/>
      <c r="G27" s="648"/>
      <c r="H27" s="648"/>
      <c r="I27" s="648"/>
      <c r="J27" s="648"/>
      <c r="K27" s="648"/>
      <c r="L27" s="648"/>
      <c r="M27" s="648"/>
      <c r="N27" s="648"/>
      <c r="O27" s="648"/>
      <c r="P27" s="648"/>
      <c r="Q27" s="648"/>
      <c r="R27" s="648"/>
      <c r="S27" s="648"/>
      <c r="T27" s="648"/>
      <c r="U27" s="648"/>
      <c r="V27" s="648"/>
      <c r="W27" s="648"/>
      <c r="X27" s="648"/>
      <c r="Y27" s="648"/>
    </row>
    <row r="28" spans="1:37" ht="16.5" thickBot="1">
      <c r="A28" s="385" t="s">
        <v>627</v>
      </c>
      <c r="B28" s="648"/>
      <c r="C28" s="648"/>
      <c r="D28" s="648"/>
      <c r="E28" s="648"/>
      <c r="F28" s="648"/>
      <c r="G28" s="648"/>
      <c r="H28" s="648"/>
      <c r="I28" s="648"/>
      <c r="J28" s="648"/>
      <c r="K28" s="648"/>
      <c r="L28" s="648"/>
      <c r="M28" s="648"/>
      <c r="N28" s="648"/>
      <c r="O28" s="648"/>
      <c r="P28" s="648"/>
      <c r="Q28" s="648"/>
      <c r="R28" s="648"/>
      <c r="S28" s="648"/>
      <c r="T28" s="648"/>
      <c r="U28" s="648"/>
      <c r="V28" s="648"/>
      <c r="W28" s="648"/>
      <c r="X28" s="648"/>
      <c r="Y28" s="648"/>
    </row>
    <row r="29" spans="1:37" ht="15.75">
      <c r="A29" s="748" t="s">
        <v>187</v>
      </c>
      <c r="B29" s="749" t="s">
        <v>185</v>
      </c>
      <c r="C29" s="749"/>
      <c r="D29" s="749"/>
      <c r="E29" s="749"/>
      <c r="F29" s="750"/>
      <c r="G29" s="775" t="s">
        <v>599</v>
      </c>
      <c r="H29" s="776"/>
      <c r="I29" s="776"/>
      <c r="J29" s="776"/>
      <c r="K29" s="776"/>
      <c r="L29" s="776"/>
      <c r="M29" s="776"/>
      <c r="N29" s="776"/>
      <c r="O29" s="776"/>
      <c r="P29" s="776"/>
      <c r="Q29" s="776"/>
      <c r="R29" s="777"/>
      <c r="S29" s="715"/>
      <c r="T29" s="648"/>
      <c r="U29" s="648"/>
      <c r="V29" s="648"/>
      <c r="W29" s="648"/>
      <c r="X29" s="648"/>
      <c r="Y29" s="648"/>
    </row>
    <row r="30" spans="1:37" ht="31.5">
      <c r="A30" s="751"/>
      <c r="B30" s="752" t="s">
        <v>188</v>
      </c>
      <c r="C30" s="752" t="s">
        <v>456</v>
      </c>
      <c r="D30" s="752"/>
      <c r="E30" s="753" t="s">
        <v>597</v>
      </c>
      <c r="F30" s="753"/>
      <c r="G30" s="740" t="s">
        <v>258</v>
      </c>
      <c r="H30" s="740" t="s">
        <v>259</v>
      </c>
      <c r="I30" s="740"/>
      <c r="J30" s="740" t="s">
        <v>260</v>
      </c>
      <c r="K30" s="740"/>
      <c r="L30" s="740" t="s">
        <v>261</v>
      </c>
      <c r="M30" s="740" t="s">
        <v>595</v>
      </c>
      <c r="N30" s="740"/>
      <c r="O30" s="740" t="s">
        <v>579</v>
      </c>
      <c r="P30" s="740"/>
      <c r="Q30" s="740" t="s">
        <v>580</v>
      </c>
      <c r="R30" s="741" t="s">
        <v>263</v>
      </c>
      <c r="S30" s="715"/>
      <c r="T30" s="648"/>
      <c r="U30" s="648"/>
      <c r="Z30" s="649" t="s">
        <v>258</v>
      </c>
      <c r="AA30" s="649" t="s">
        <v>259</v>
      </c>
      <c r="AB30" s="649"/>
      <c r="AC30" s="649" t="s">
        <v>260</v>
      </c>
      <c r="AD30" s="649"/>
      <c r="AE30" s="649" t="s">
        <v>261</v>
      </c>
      <c r="AF30" s="649" t="s">
        <v>595</v>
      </c>
      <c r="AG30" s="649"/>
      <c r="AH30" s="649" t="s">
        <v>579</v>
      </c>
      <c r="AI30" s="649"/>
      <c r="AJ30" s="649" t="s">
        <v>580</v>
      </c>
      <c r="AK30" s="649" t="s">
        <v>263</v>
      </c>
    </row>
    <row r="31" spans="1:37" ht="15.75">
      <c r="A31" s="754" t="s">
        <v>282</v>
      </c>
      <c r="B31" s="772">
        <f>'1'!B20</f>
        <v>0</v>
      </c>
      <c r="C31" s="773"/>
      <c r="D31" s="773"/>
      <c r="E31" s="774"/>
      <c r="F31" s="755"/>
      <c r="G31" s="742"/>
      <c r="H31" s="743"/>
      <c r="I31" s="743"/>
      <c r="J31" s="743"/>
      <c r="K31" s="743"/>
      <c r="L31" s="743"/>
      <c r="M31" s="743" t="s">
        <v>596</v>
      </c>
      <c r="N31" s="743"/>
      <c r="O31" s="743"/>
      <c r="P31" s="743"/>
      <c r="Q31" s="743"/>
      <c r="R31" s="744"/>
      <c r="S31" s="715"/>
      <c r="T31" s="648"/>
      <c r="U31" s="648"/>
      <c r="Z31" s="961"/>
      <c r="AA31" s="649"/>
      <c r="AB31" s="649"/>
      <c r="AC31" s="649"/>
      <c r="AD31" s="649"/>
      <c r="AE31" s="649"/>
      <c r="AF31" s="649" t="s">
        <v>596</v>
      </c>
      <c r="AG31" s="649"/>
      <c r="AH31" s="649"/>
      <c r="AI31" s="649"/>
      <c r="AJ31" s="649"/>
      <c r="AK31" s="649"/>
    </row>
    <row r="32" spans="1:37" ht="15.75">
      <c r="A32" s="948" t="str">
        <f t="shared" ref="A32:A50" si="15">A8</f>
        <v>Category I</v>
      </c>
      <c r="B32" s="650"/>
      <c r="C32" s="650"/>
      <c r="D32" s="650"/>
      <c r="E32" s="650"/>
      <c r="F32" s="650"/>
      <c r="G32" s="745"/>
      <c r="H32" s="745"/>
      <c r="I32" s="745"/>
      <c r="J32" s="745"/>
      <c r="K32" s="745"/>
      <c r="L32" s="745"/>
      <c r="M32" s="745"/>
      <c r="N32" s="745"/>
      <c r="O32" s="745"/>
      <c r="P32" s="745"/>
      <c r="Q32" s="745"/>
      <c r="R32" s="949"/>
      <c r="S32" s="648"/>
      <c r="T32" s="648"/>
      <c r="U32" s="648"/>
      <c r="Z32" s="721"/>
      <c r="AA32" s="721"/>
      <c r="AB32" s="721"/>
      <c r="AC32" s="721"/>
      <c r="AD32" s="721"/>
      <c r="AE32" s="721"/>
      <c r="AF32" s="721"/>
      <c r="AG32" s="721"/>
      <c r="AH32" s="721"/>
      <c r="AI32" s="721"/>
      <c r="AJ32" s="721"/>
      <c r="AK32" s="721"/>
    </row>
    <row r="33" spans="1:37">
      <c r="A33" s="950">
        <f t="shared" si="15"/>
        <v>0</v>
      </c>
      <c r="B33" s="653">
        <f t="shared" ref="B33:C38" si="16">B9</f>
        <v>0</v>
      </c>
      <c r="C33" s="654">
        <f t="shared" si="16"/>
        <v>0</v>
      </c>
      <c r="D33" s="654"/>
      <c r="E33" s="653">
        <f t="shared" ref="E33:E49" si="17">B33*C33</f>
        <v>0</v>
      </c>
      <c r="F33" s="653"/>
      <c r="G33" s="746"/>
      <c r="H33" s="746"/>
      <c r="I33" s="746"/>
      <c r="J33" s="746"/>
      <c r="K33" s="746"/>
      <c r="L33" s="746"/>
      <c r="M33" s="746"/>
      <c r="N33" s="746"/>
      <c r="O33" s="746"/>
      <c r="P33" s="746"/>
      <c r="Q33" s="746"/>
      <c r="R33" s="951"/>
      <c r="S33" s="657"/>
      <c r="T33" s="648"/>
      <c r="U33" s="648"/>
      <c r="Z33" s="706">
        <f>G33*$E33</f>
        <v>0</v>
      </c>
      <c r="AA33" s="706">
        <f>H33*$E33</f>
        <v>0</v>
      </c>
      <c r="AB33" s="706">
        <f>I33*$E33</f>
        <v>0</v>
      </c>
      <c r="AC33" s="706">
        <f>J33*$E33</f>
        <v>0</v>
      </c>
      <c r="AD33" s="706">
        <f>K33*$E33</f>
        <v>0</v>
      </c>
      <c r="AE33" s="706">
        <f>L33*$E33</f>
        <v>0</v>
      </c>
      <c r="AF33" s="706">
        <f>M33*$E33</f>
        <v>0</v>
      </c>
      <c r="AG33" s="706">
        <f>N33*$E33</f>
        <v>0</v>
      </c>
      <c r="AH33" s="706">
        <f>O33*$E33</f>
        <v>0</v>
      </c>
      <c r="AI33" s="706">
        <f>P33*$E33</f>
        <v>0</v>
      </c>
      <c r="AJ33" s="706">
        <f>Q33*$E33</f>
        <v>0</v>
      </c>
      <c r="AK33" s="706">
        <f>R33*$E33</f>
        <v>0</v>
      </c>
    </row>
    <row r="34" spans="1:37">
      <c r="A34" s="950">
        <f t="shared" si="15"/>
        <v>0</v>
      </c>
      <c r="B34" s="653">
        <f t="shared" si="16"/>
        <v>0</v>
      </c>
      <c r="C34" s="654">
        <f t="shared" si="16"/>
        <v>0</v>
      </c>
      <c r="D34" s="654"/>
      <c r="E34" s="653">
        <f t="shared" si="17"/>
        <v>0</v>
      </c>
      <c r="F34" s="653"/>
      <c r="G34" s="747"/>
      <c r="H34" s="747"/>
      <c r="I34" s="747"/>
      <c r="J34" s="747"/>
      <c r="K34" s="747"/>
      <c r="L34" s="747"/>
      <c r="M34" s="747"/>
      <c r="N34" s="747"/>
      <c r="O34" s="747"/>
      <c r="P34" s="747"/>
      <c r="Q34" s="747"/>
      <c r="R34" s="952"/>
      <c r="S34" s="657"/>
      <c r="T34" s="648"/>
      <c r="U34" s="648"/>
      <c r="Z34" s="706">
        <f>G34*$E34</f>
        <v>0</v>
      </c>
      <c r="AA34" s="706">
        <f>H34*$E34</f>
        <v>0</v>
      </c>
      <c r="AB34" s="706">
        <f>I34*$E34</f>
        <v>0</v>
      </c>
      <c r="AC34" s="706">
        <f>J34*$E34</f>
        <v>0</v>
      </c>
      <c r="AD34" s="706">
        <f>K34*$E34</f>
        <v>0</v>
      </c>
      <c r="AE34" s="706">
        <f>L34*$E34</f>
        <v>0</v>
      </c>
      <c r="AF34" s="706">
        <f>M34*$E34</f>
        <v>0</v>
      </c>
      <c r="AG34" s="706">
        <f>N34*$E34</f>
        <v>0</v>
      </c>
      <c r="AH34" s="706">
        <f>O34*$E34</f>
        <v>0</v>
      </c>
      <c r="AI34" s="706">
        <f>P34*$E34</f>
        <v>0</v>
      </c>
      <c r="AJ34" s="706">
        <f>Q34*$E34</f>
        <v>0</v>
      </c>
      <c r="AK34" s="706">
        <f>R34*$E34</f>
        <v>0</v>
      </c>
    </row>
    <row r="35" spans="1:37">
      <c r="A35" s="950">
        <f t="shared" si="15"/>
        <v>0</v>
      </c>
      <c r="B35" s="653">
        <f t="shared" si="16"/>
        <v>0</v>
      </c>
      <c r="C35" s="654">
        <f t="shared" si="16"/>
        <v>0</v>
      </c>
      <c r="D35" s="654"/>
      <c r="E35" s="653">
        <f t="shared" si="17"/>
        <v>0</v>
      </c>
      <c r="F35" s="653"/>
      <c r="G35" s="747"/>
      <c r="H35" s="747"/>
      <c r="I35" s="747"/>
      <c r="J35" s="747"/>
      <c r="K35" s="747"/>
      <c r="L35" s="747"/>
      <c r="M35" s="747"/>
      <c r="N35" s="747"/>
      <c r="O35" s="747"/>
      <c r="P35" s="747"/>
      <c r="Q35" s="747"/>
      <c r="R35" s="952"/>
      <c r="S35" s="657"/>
      <c r="T35" s="648"/>
      <c r="U35" s="648"/>
      <c r="Z35" s="706">
        <f>G35*$E35</f>
        <v>0</v>
      </c>
      <c r="AA35" s="706">
        <f>H35*$E35</f>
        <v>0</v>
      </c>
      <c r="AB35" s="706">
        <f>I35*$E35</f>
        <v>0</v>
      </c>
      <c r="AC35" s="706">
        <f>J35*$E35</f>
        <v>0</v>
      </c>
      <c r="AD35" s="706">
        <f>K35*$E35</f>
        <v>0</v>
      </c>
      <c r="AE35" s="706">
        <f>L35*$E35</f>
        <v>0</v>
      </c>
      <c r="AF35" s="706">
        <f>M35*$E35</f>
        <v>0</v>
      </c>
      <c r="AG35" s="706">
        <f>N35*$E35</f>
        <v>0</v>
      </c>
      <c r="AH35" s="706">
        <f>O35*$E35</f>
        <v>0</v>
      </c>
      <c r="AI35" s="706">
        <f>P35*$E35</f>
        <v>0</v>
      </c>
      <c r="AJ35" s="706">
        <f>Q35*$E35</f>
        <v>0</v>
      </c>
      <c r="AK35" s="706">
        <f>R35*$E35</f>
        <v>0</v>
      </c>
    </row>
    <row r="36" spans="1:37">
      <c r="A36" s="950">
        <f t="shared" si="15"/>
        <v>0</v>
      </c>
      <c r="B36" s="653">
        <f t="shared" si="16"/>
        <v>0</v>
      </c>
      <c r="C36" s="654">
        <f t="shared" si="16"/>
        <v>0</v>
      </c>
      <c r="D36" s="654"/>
      <c r="E36" s="653">
        <f t="shared" si="17"/>
        <v>0</v>
      </c>
      <c r="F36" s="653"/>
      <c r="G36" s="747"/>
      <c r="H36" s="747"/>
      <c r="I36" s="747"/>
      <c r="J36" s="747"/>
      <c r="K36" s="747"/>
      <c r="L36" s="747"/>
      <c r="M36" s="747"/>
      <c r="N36" s="747"/>
      <c r="O36" s="747"/>
      <c r="P36" s="747"/>
      <c r="Q36" s="747"/>
      <c r="R36" s="952"/>
      <c r="S36" s="657"/>
      <c r="T36" s="648"/>
      <c r="U36" s="648"/>
      <c r="Z36" s="706">
        <f>G36*$E36</f>
        <v>0</v>
      </c>
      <c r="AA36" s="706">
        <f>H36*$E36</f>
        <v>0</v>
      </c>
      <c r="AB36" s="706">
        <f>I36*$E36</f>
        <v>0</v>
      </c>
      <c r="AC36" s="706">
        <f>J36*$E36</f>
        <v>0</v>
      </c>
      <c r="AD36" s="706">
        <f>K36*$E36</f>
        <v>0</v>
      </c>
      <c r="AE36" s="706">
        <f>L36*$E36</f>
        <v>0</v>
      </c>
      <c r="AF36" s="706">
        <f>M36*$E36</f>
        <v>0</v>
      </c>
      <c r="AG36" s="706">
        <f>N36*$E36</f>
        <v>0</v>
      </c>
      <c r="AH36" s="706">
        <f>O36*$E36</f>
        <v>0</v>
      </c>
      <c r="AI36" s="706">
        <f>P36*$E36</f>
        <v>0</v>
      </c>
      <c r="AJ36" s="706">
        <f>Q36*$E36</f>
        <v>0</v>
      </c>
      <c r="AK36" s="706">
        <f>R36*$E36</f>
        <v>0</v>
      </c>
    </row>
    <row r="37" spans="1:37">
      <c r="A37" s="950">
        <f t="shared" si="15"/>
        <v>0</v>
      </c>
      <c r="B37" s="653">
        <f t="shared" si="16"/>
        <v>0</v>
      </c>
      <c r="C37" s="654">
        <f t="shared" si="16"/>
        <v>0</v>
      </c>
      <c r="D37" s="654"/>
      <c r="E37" s="653">
        <f t="shared" si="17"/>
        <v>0</v>
      </c>
      <c r="F37" s="653"/>
      <c r="G37" s="747"/>
      <c r="H37" s="747"/>
      <c r="I37" s="747"/>
      <c r="J37" s="747"/>
      <c r="K37" s="747"/>
      <c r="L37" s="747"/>
      <c r="M37" s="747"/>
      <c r="N37" s="747"/>
      <c r="O37" s="747"/>
      <c r="P37" s="747"/>
      <c r="Q37" s="747"/>
      <c r="R37" s="952"/>
      <c r="S37" s="657"/>
      <c r="T37" s="648"/>
      <c r="U37" s="648"/>
      <c r="Z37" s="706">
        <f>G37*$E37</f>
        <v>0</v>
      </c>
      <c r="AA37" s="706">
        <f>H37*$E37</f>
        <v>0</v>
      </c>
      <c r="AB37" s="706">
        <f>I37*$E37</f>
        <v>0</v>
      </c>
      <c r="AC37" s="706">
        <f>J37*$E37</f>
        <v>0</v>
      </c>
      <c r="AD37" s="706">
        <f>K37*$E37</f>
        <v>0</v>
      </c>
      <c r="AE37" s="706">
        <f>L37*$E37</f>
        <v>0</v>
      </c>
      <c r="AF37" s="706">
        <f>M37*$E37</f>
        <v>0</v>
      </c>
      <c r="AG37" s="706">
        <f>N37*$E37</f>
        <v>0</v>
      </c>
      <c r="AH37" s="706">
        <f>O37*$E37</f>
        <v>0</v>
      </c>
      <c r="AI37" s="706">
        <f>P37*$E37</f>
        <v>0</v>
      </c>
      <c r="AJ37" s="706">
        <f>Q37*$E37</f>
        <v>0</v>
      </c>
      <c r="AK37" s="706">
        <f>R37*$E37</f>
        <v>0</v>
      </c>
    </row>
    <row r="38" spans="1:37">
      <c r="A38" s="950">
        <f t="shared" si="15"/>
        <v>0</v>
      </c>
      <c r="B38" s="653">
        <f t="shared" si="16"/>
        <v>0</v>
      </c>
      <c r="C38" s="654">
        <f t="shared" si="16"/>
        <v>0</v>
      </c>
      <c r="D38" s="654"/>
      <c r="E38" s="653">
        <f t="shared" si="17"/>
        <v>0</v>
      </c>
      <c r="F38" s="653"/>
      <c r="G38" s="747"/>
      <c r="H38" s="747"/>
      <c r="I38" s="747"/>
      <c r="J38" s="747"/>
      <c r="K38" s="747"/>
      <c r="L38" s="747"/>
      <c r="M38" s="747"/>
      <c r="N38" s="747"/>
      <c r="O38" s="747"/>
      <c r="P38" s="747"/>
      <c r="Q38" s="747"/>
      <c r="R38" s="952"/>
      <c r="S38" s="657"/>
      <c r="T38" s="648"/>
      <c r="U38" s="648"/>
      <c r="Z38" s="706">
        <f>G38*$E38</f>
        <v>0</v>
      </c>
      <c r="AA38" s="706">
        <f>H38*$E38</f>
        <v>0</v>
      </c>
      <c r="AB38" s="706">
        <f>I38*$E38</f>
        <v>0</v>
      </c>
      <c r="AC38" s="706">
        <f>J38*$E38</f>
        <v>0</v>
      </c>
      <c r="AD38" s="706">
        <f>K38*$E38</f>
        <v>0</v>
      </c>
      <c r="AE38" s="706">
        <f>L38*$E38</f>
        <v>0</v>
      </c>
      <c r="AF38" s="706">
        <f>M38*$E38</f>
        <v>0</v>
      </c>
      <c r="AG38" s="706">
        <f>N38*$E38</f>
        <v>0</v>
      </c>
      <c r="AH38" s="706">
        <f>O38*$E38</f>
        <v>0</v>
      </c>
      <c r="AI38" s="706">
        <f>P38*$E38</f>
        <v>0</v>
      </c>
      <c r="AJ38" s="706">
        <f>Q38*$E38</f>
        <v>0</v>
      </c>
      <c r="AK38" s="706">
        <f>R38*$E38</f>
        <v>0</v>
      </c>
    </row>
    <row r="39" spans="1:37" ht="15.75">
      <c r="A39" s="948" t="str">
        <f t="shared" si="15"/>
        <v>Category II</v>
      </c>
      <c r="B39" s="651"/>
      <c r="C39" s="652"/>
      <c r="D39" s="652"/>
      <c r="E39" s="653">
        <f t="shared" si="17"/>
        <v>0</v>
      </c>
      <c r="F39" s="653"/>
      <c r="G39" s="747"/>
      <c r="H39" s="747"/>
      <c r="I39" s="747"/>
      <c r="J39" s="747"/>
      <c r="K39" s="747"/>
      <c r="L39" s="747"/>
      <c r="M39" s="747"/>
      <c r="N39" s="747"/>
      <c r="O39" s="747"/>
      <c r="P39" s="747"/>
      <c r="Q39" s="747"/>
      <c r="R39" s="952"/>
      <c r="S39" s="657"/>
      <c r="T39" s="648"/>
      <c r="U39" s="648"/>
      <c r="Z39" s="706">
        <f>G39*$E39</f>
        <v>0</v>
      </c>
      <c r="AA39" s="706">
        <f>H39*$E39</f>
        <v>0</v>
      </c>
      <c r="AB39" s="706">
        <f>I39*$E39</f>
        <v>0</v>
      </c>
      <c r="AC39" s="706">
        <f>J39*$E39</f>
        <v>0</v>
      </c>
      <c r="AD39" s="706">
        <f>K39*$E39</f>
        <v>0</v>
      </c>
      <c r="AE39" s="706">
        <f>L39*$E39</f>
        <v>0</v>
      </c>
      <c r="AF39" s="706">
        <f>M39*$E39</f>
        <v>0</v>
      </c>
      <c r="AG39" s="706">
        <f>N39*$E39</f>
        <v>0</v>
      </c>
      <c r="AH39" s="706">
        <f>O39*$E39</f>
        <v>0</v>
      </c>
      <c r="AI39" s="706">
        <f>P39*$E39</f>
        <v>0</v>
      </c>
      <c r="AJ39" s="706">
        <f>Q39*$E39</f>
        <v>0</v>
      </c>
      <c r="AK39" s="706">
        <f>R39*$E39</f>
        <v>0</v>
      </c>
    </row>
    <row r="40" spans="1:37">
      <c r="A40" s="950">
        <f t="shared" si="15"/>
        <v>0</v>
      </c>
      <c r="B40" s="653">
        <f t="shared" ref="B40:C50" si="18">B16</f>
        <v>0</v>
      </c>
      <c r="C40" s="654">
        <f t="shared" si="18"/>
        <v>0</v>
      </c>
      <c r="D40" s="654"/>
      <c r="E40" s="653">
        <f t="shared" si="17"/>
        <v>0</v>
      </c>
      <c r="F40" s="653"/>
      <c r="G40" s="746"/>
      <c r="H40" s="746"/>
      <c r="I40" s="746"/>
      <c r="J40" s="746"/>
      <c r="K40" s="746"/>
      <c r="L40" s="746"/>
      <c r="M40" s="746"/>
      <c r="N40" s="746"/>
      <c r="O40" s="746"/>
      <c r="P40" s="746"/>
      <c r="Q40" s="746"/>
      <c r="R40" s="951"/>
      <c r="S40" s="657"/>
      <c r="T40" s="648"/>
      <c r="U40" s="648"/>
      <c r="Z40" s="706">
        <f>G40*$E40</f>
        <v>0</v>
      </c>
      <c r="AA40" s="706">
        <f>H40*$E40</f>
        <v>0</v>
      </c>
      <c r="AB40" s="706">
        <f>I40*$E40</f>
        <v>0</v>
      </c>
      <c r="AC40" s="706">
        <f>J40*$E40</f>
        <v>0</v>
      </c>
      <c r="AD40" s="706">
        <f>K40*$E40</f>
        <v>0</v>
      </c>
      <c r="AE40" s="706">
        <f>L40*$E40</f>
        <v>0</v>
      </c>
      <c r="AF40" s="706">
        <f>M40*$E40</f>
        <v>0</v>
      </c>
      <c r="AG40" s="706">
        <f>N40*$E40</f>
        <v>0</v>
      </c>
      <c r="AH40" s="706">
        <f>O40*$E40</f>
        <v>0</v>
      </c>
      <c r="AI40" s="706">
        <f>P40*$E40</f>
        <v>0</v>
      </c>
      <c r="AJ40" s="706">
        <f>Q40*$E40</f>
        <v>0</v>
      </c>
      <c r="AK40" s="706">
        <f>R40*$E40</f>
        <v>0</v>
      </c>
    </row>
    <row r="41" spans="1:37">
      <c r="A41" s="950">
        <f t="shared" si="15"/>
        <v>0</v>
      </c>
      <c r="B41" s="653">
        <f t="shared" si="18"/>
        <v>0</v>
      </c>
      <c r="C41" s="654">
        <f t="shared" si="18"/>
        <v>0</v>
      </c>
      <c r="D41" s="654"/>
      <c r="E41" s="653">
        <f t="shared" si="17"/>
        <v>0</v>
      </c>
      <c r="F41" s="653"/>
      <c r="G41" s="746"/>
      <c r="H41" s="746"/>
      <c r="I41" s="746"/>
      <c r="J41" s="746"/>
      <c r="K41" s="746"/>
      <c r="L41" s="746"/>
      <c r="M41" s="746"/>
      <c r="N41" s="746"/>
      <c r="O41" s="746"/>
      <c r="P41" s="746"/>
      <c r="Q41" s="746"/>
      <c r="R41" s="951"/>
      <c r="S41" s="657"/>
      <c r="T41" s="648"/>
      <c r="U41" s="648"/>
      <c r="Z41" s="706">
        <f>G41*$E41</f>
        <v>0</v>
      </c>
      <c r="AA41" s="706">
        <f>H41*$E41</f>
        <v>0</v>
      </c>
      <c r="AB41" s="706">
        <f>I41*$E41</f>
        <v>0</v>
      </c>
      <c r="AC41" s="706">
        <f>J41*$E41</f>
        <v>0</v>
      </c>
      <c r="AD41" s="706">
        <f>K41*$E41</f>
        <v>0</v>
      </c>
      <c r="AE41" s="706">
        <f>L41*$E41</f>
        <v>0</v>
      </c>
      <c r="AF41" s="706">
        <f>M41*$E41</f>
        <v>0</v>
      </c>
      <c r="AG41" s="706">
        <f>N41*$E41</f>
        <v>0</v>
      </c>
      <c r="AH41" s="706">
        <f>O41*$E41</f>
        <v>0</v>
      </c>
      <c r="AI41" s="706">
        <f>P41*$E41</f>
        <v>0</v>
      </c>
      <c r="AJ41" s="706">
        <f>Q41*$E41</f>
        <v>0</v>
      </c>
      <c r="AK41" s="706">
        <f>R41*$E41</f>
        <v>0</v>
      </c>
    </row>
    <row r="42" spans="1:37">
      <c r="A42" s="950">
        <f t="shared" si="15"/>
        <v>0</v>
      </c>
      <c r="B42" s="653">
        <f t="shared" si="18"/>
        <v>0</v>
      </c>
      <c r="C42" s="654">
        <f t="shared" si="18"/>
        <v>0</v>
      </c>
      <c r="D42" s="654"/>
      <c r="E42" s="653">
        <f t="shared" si="17"/>
        <v>0</v>
      </c>
      <c r="F42" s="653"/>
      <c r="G42" s="746"/>
      <c r="H42" s="746"/>
      <c r="I42" s="746"/>
      <c r="J42" s="746"/>
      <c r="K42" s="746"/>
      <c r="L42" s="746"/>
      <c r="M42" s="746"/>
      <c r="N42" s="746"/>
      <c r="O42" s="746"/>
      <c r="P42" s="746"/>
      <c r="Q42" s="746"/>
      <c r="R42" s="951"/>
      <c r="S42" s="657"/>
      <c r="T42" s="648"/>
      <c r="U42" s="648"/>
      <c r="Z42" s="706">
        <f>G42*$E42</f>
        <v>0</v>
      </c>
      <c r="AA42" s="706">
        <f>H42*$E42</f>
        <v>0</v>
      </c>
      <c r="AB42" s="706">
        <f>I42*$E42</f>
        <v>0</v>
      </c>
      <c r="AC42" s="706">
        <f>J42*$E42</f>
        <v>0</v>
      </c>
      <c r="AD42" s="706">
        <f>K42*$E42</f>
        <v>0</v>
      </c>
      <c r="AE42" s="706">
        <f>L42*$E42</f>
        <v>0</v>
      </c>
      <c r="AF42" s="706">
        <f>M42*$E42</f>
        <v>0</v>
      </c>
      <c r="AG42" s="706">
        <f>N42*$E42</f>
        <v>0</v>
      </c>
      <c r="AH42" s="706">
        <f>O42*$E42</f>
        <v>0</v>
      </c>
      <c r="AI42" s="706">
        <f>P42*$E42</f>
        <v>0</v>
      </c>
      <c r="AJ42" s="706">
        <f>Q42*$E42</f>
        <v>0</v>
      </c>
      <c r="AK42" s="706">
        <f>R42*$E42</f>
        <v>0</v>
      </c>
    </row>
    <row r="43" spans="1:37">
      <c r="A43" s="950">
        <f t="shared" si="15"/>
        <v>0</v>
      </c>
      <c r="B43" s="653">
        <f t="shared" si="18"/>
        <v>0</v>
      </c>
      <c r="C43" s="654">
        <f t="shared" si="18"/>
        <v>0</v>
      </c>
      <c r="D43" s="654"/>
      <c r="E43" s="653">
        <f t="shared" si="17"/>
        <v>0</v>
      </c>
      <c r="F43" s="653"/>
      <c r="G43" s="747"/>
      <c r="H43" s="747"/>
      <c r="I43" s="747"/>
      <c r="J43" s="747"/>
      <c r="K43" s="747"/>
      <c r="L43" s="747"/>
      <c r="M43" s="747"/>
      <c r="N43" s="747"/>
      <c r="O43" s="747"/>
      <c r="P43" s="747"/>
      <c r="Q43" s="747"/>
      <c r="R43" s="952"/>
      <c r="S43" s="657"/>
      <c r="T43" s="648"/>
      <c r="U43" s="648"/>
      <c r="Z43" s="706">
        <f>G43*$E43</f>
        <v>0</v>
      </c>
      <c r="AA43" s="706">
        <f>H43*$E43</f>
        <v>0</v>
      </c>
      <c r="AB43" s="706">
        <f>I43*$E43</f>
        <v>0</v>
      </c>
      <c r="AC43" s="706">
        <f>J43*$E43</f>
        <v>0</v>
      </c>
      <c r="AD43" s="706">
        <f>K43*$E43</f>
        <v>0</v>
      </c>
      <c r="AE43" s="706">
        <f>L43*$E43</f>
        <v>0</v>
      </c>
      <c r="AF43" s="706">
        <f>M43*$E43</f>
        <v>0</v>
      </c>
      <c r="AG43" s="706">
        <f>N43*$E43</f>
        <v>0</v>
      </c>
      <c r="AH43" s="706">
        <f>O43*$E43</f>
        <v>0</v>
      </c>
      <c r="AI43" s="706">
        <f>P43*$E43</f>
        <v>0</v>
      </c>
      <c r="AJ43" s="706">
        <f>Q43*$E43</f>
        <v>0</v>
      </c>
      <c r="AK43" s="706">
        <f>R43*$E43</f>
        <v>0</v>
      </c>
    </row>
    <row r="44" spans="1:37">
      <c r="A44" s="950">
        <f t="shared" si="15"/>
        <v>0</v>
      </c>
      <c r="B44" s="653">
        <f t="shared" si="18"/>
        <v>0</v>
      </c>
      <c r="C44" s="654">
        <f t="shared" si="18"/>
        <v>0</v>
      </c>
      <c r="D44" s="654"/>
      <c r="E44" s="653">
        <f t="shared" si="17"/>
        <v>0</v>
      </c>
      <c r="F44" s="653"/>
      <c r="G44" s="747"/>
      <c r="H44" s="747"/>
      <c r="I44" s="747"/>
      <c r="J44" s="747"/>
      <c r="K44" s="747"/>
      <c r="L44" s="747"/>
      <c r="M44" s="747"/>
      <c r="N44" s="747"/>
      <c r="O44" s="747"/>
      <c r="P44" s="747"/>
      <c r="Q44" s="747"/>
      <c r="R44" s="952"/>
      <c r="S44" s="657"/>
      <c r="T44" s="648"/>
      <c r="U44" s="648"/>
      <c r="Z44" s="706">
        <f>G44*$E44</f>
        <v>0</v>
      </c>
      <c r="AA44" s="706">
        <f>H44*$E44</f>
        <v>0</v>
      </c>
      <c r="AB44" s="706">
        <f>I44*$E44</f>
        <v>0</v>
      </c>
      <c r="AC44" s="706">
        <f>J44*$E44</f>
        <v>0</v>
      </c>
      <c r="AD44" s="706">
        <f>K44*$E44</f>
        <v>0</v>
      </c>
      <c r="AE44" s="706">
        <f>L44*$E44</f>
        <v>0</v>
      </c>
      <c r="AF44" s="706">
        <f>M44*$E44</f>
        <v>0</v>
      </c>
      <c r="AG44" s="706">
        <f>N44*$E44</f>
        <v>0</v>
      </c>
      <c r="AH44" s="706">
        <f>O44*$E44</f>
        <v>0</v>
      </c>
      <c r="AI44" s="706">
        <f>P44*$E44</f>
        <v>0</v>
      </c>
      <c r="AJ44" s="706">
        <f>Q44*$E44</f>
        <v>0</v>
      </c>
      <c r="AK44" s="706">
        <f>R44*$E44</f>
        <v>0</v>
      </c>
    </row>
    <row r="45" spans="1:37">
      <c r="A45" s="950">
        <f t="shared" si="15"/>
        <v>0</v>
      </c>
      <c r="B45" s="653">
        <f t="shared" si="18"/>
        <v>0</v>
      </c>
      <c r="C45" s="654">
        <f t="shared" si="18"/>
        <v>0</v>
      </c>
      <c r="D45" s="654"/>
      <c r="E45" s="653">
        <f t="shared" si="17"/>
        <v>0</v>
      </c>
      <c r="F45" s="653"/>
      <c r="G45" s="747"/>
      <c r="H45" s="747"/>
      <c r="I45" s="747"/>
      <c r="J45" s="747"/>
      <c r="K45" s="747"/>
      <c r="L45" s="747"/>
      <c r="M45" s="747"/>
      <c r="N45" s="747"/>
      <c r="O45" s="747"/>
      <c r="P45" s="747"/>
      <c r="Q45" s="747"/>
      <c r="R45" s="952"/>
      <c r="S45" s="657"/>
      <c r="T45" s="648"/>
      <c r="U45" s="648"/>
      <c r="Z45" s="706">
        <f>G45*$E45</f>
        <v>0</v>
      </c>
      <c r="AA45" s="706">
        <f>H45*$E45</f>
        <v>0</v>
      </c>
      <c r="AB45" s="706">
        <f>I45*$E45</f>
        <v>0</v>
      </c>
      <c r="AC45" s="706">
        <f>J45*$E45</f>
        <v>0</v>
      </c>
      <c r="AD45" s="706">
        <f>K45*$E45</f>
        <v>0</v>
      </c>
      <c r="AE45" s="706">
        <f>L45*$E45</f>
        <v>0</v>
      </c>
      <c r="AF45" s="706">
        <f>M45*$E45</f>
        <v>0</v>
      </c>
      <c r="AG45" s="706">
        <f>N45*$E45</f>
        <v>0</v>
      </c>
      <c r="AH45" s="706">
        <f>O45*$E45</f>
        <v>0</v>
      </c>
      <c r="AI45" s="706">
        <f>P45*$E45</f>
        <v>0</v>
      </c>
      <c r="AJ45" s="706">
        <f>Q45*$E45</f>
        <v>0</v>
      </c>
      <c r="AK45" s="706">
        <f>R45*$E45</f>
        <v>0</v>
      </c>
    </row>
    <row r="46" spans="1:37">
      <c r="A46" s="950">
        <f t="shared" si="15"/>
        <v>0</v>
      </c>
      <c r="B46" s="653">
        <f t="shared" si="18"/>
        <v>0</v>
      </c>
      <c r="C46" s="654">
        <f t="shared" si="18"/>
        <v>0</v>
      </c>
      <c r="D46" s="654"/>
      <c r="E46" s="653">
        <f t="shared" si="17"/>
        <v>0</v>
      </c>
      <c r="F46" s="653"/>
      <c r="G46" s="747"/>
      <c r="H46" s="747"/>
      <c r="I46" s="747"/>
      <c r="J46" s="747"/>
      <c r="K46" s="747"/>
      <c r="L46" s="747"/>
      <c r="M46" s="747"/>
      <c r="N46" s="747"/>
      <c r="O46" s="747"/>
      <c r="P46" s="747"/>
      <c r="Q46" s="747"/>
      <c r="R46" s="952"/>
      <c r="S46" s="657"/>
      <c r="T46" s="648"/>
      <c r="U46" s="648"/>
      <c r="Z46" s="706">
        <f>G46*$E46</f>
        <v>0</v>
      </c>
      <c r="AA46" s="706">
        <f>H46*$E46</f>
        <v>0</v>
      </c>
      <c r="AB46" s="706">
        <f>I46*$E46</f>
        <v>0</v>
      </c>
      <c r="AC46" s="706">
        <f>J46*$E46</f>
        <v>0</v>
      </c>
      <c r="AD46" s="706">
        <f>K46*$E46</f>
        <v>0</v>
      </c>
      <c r="AE46" s="706">
        <f>L46*$E46</f>
        <v>0</v>
      </c>
      <c r="AF46" s="706">
        <f>M46*$E46</f>
        <v>0</v>
      </c>
      <c r="AG46" s="706">
        <f>N46*$E46</f>
        <v>0</v>
      </c>
      <c r="AH46" s="706">
        <f>O46*$E46</f>
        <v>0</v>
      </c>
      <c r="AI46" s="706">
        <f>P46*$E46</f>
        <v>0</v>
      </c>
      <c r="AJ46" s="706">
        <f>Q46*$E46</f>
        <v>0</v>
      </c>
      <c r="AK46" s="706">
        <f>R46*$E46</f>
        <v>0</v>
      </c>
    </row>
    <row r="47" spans="1:37">
      <c r="A47" s="950">
        <f t="shared" si="15"/>
        <v>0</v>
      </c>
      <c r="B47" s="653">
        <f t="shared" si="18"/>
        <v>0</v>
      </c>
      <c r="C47" s="654">
        <f t="shared" si="18"/>
        <v>0</v>
      </c>
      <c r="D47" s="654"/>
      <c r="E47" s="653">
        <f t="shared" si="17"/>
        <v>0</v>
      </c>
      <c r="F47" s="653"/>
      <c r="G47" s="747"/>
      <c r="H47" s="747"/>
      <c r="I47" s="747"/>
      <c r="J47" s="747"/>
      <c r="K47" s="747"/>
      <c r="L47" s="747"/>
      <c r="M47" s="747"/>
      <c r="N47" s="747"/>
      <c r="O47" s="747"/>
      <c r="P47" s="747"/>
      <c r="Q47" s="747"/>
      <c r="R47" s="952"/>
      <c r="S47" s="657"/>
      <c r="T47" s="648"/>
      <c r="U47" s="648"/>
      <c r="Z47" s="706">
        <f>G47*$E47</f>
        <v>0</v>
      </c>
      <c r="AA47" s="706">
        <f>H47*$E47</f>
        <v>0</v>
      </c>
      <c r="AB47" s="706">
        <f>I47*$E47</f>
        <v>0</v>
      </c>
      <c r="AC47" s="706">
        <f>J47*$E47</f>
        <v>0</v>
      </c>
      <c r="AD47" s="706">
        <f>K47*$E47</f>
        <v>0</v>
      </c>
      <c r="AE47" s="706">
        <f>L47*$E47</f>
        <v>0</v>
      </c>
      <c r="AF47" s="706">
        <f>M47*$E47</f>
        <v>0</v>
      </c>
      <c r="AG47" s="706">
        <f>N47*$E47</f>
        <v>0</v>
      </c>
      <c r="AH47" s="706">
        <f>O47*$E47</f>
        <v>0</v>
      </c>
      <c r="AI47" s="706">
        <f>P47*$E47</f>
        <v>0</v>
      </c>
      <c r="AJ47" s="706">
        <f>Q47*$E47</f>
        <v>0</v>
      </c>
      <c r="AK47" s="706">
        <f>R47*$E47</f>
        <v>0</v>
      </c>
    </row>
    <row r="48" spans="1:37">
      <c r="A48" s="950">
        <f t="shared" si="15"/>
        <v>0</v>
      </c>
      <c r="B48" s="653">
        <f t="shared" si="18"/>
        <v>0</v>
      </c>
      <c r="C48" s="654">
        <f t="shared" si="18"/>
        <v>0</v>
      </c>
      <c r="D48" s="654"/>
      <c r="E48" s="653">
        <f t="shared" si="17"/>
        <v>0</v>
      </c>
      <c r="F48" s="653"/>
      <c r="G48" s="747"/>
      <c r="H48" s="747"/>
      <c r="I48" s="747"/>
      <c r="J48" s="747"/>
      <c r="K48" s="747"/>
      <c r="L48" s="747"/>
      <c r="M48" s="747"/>
      <c r="N48" s="747"/>
      <c r="O48" s="747"/>
      <c r="P48" s="747"/>
      <c r="Q48" s="747"/>
      <c r="R48" s="952"/>
      <c r="S48" s="657"/>
      <c r="T48" s="648"/>
      <c r="U48" s="648"/>
      <c r="Z48" s="706">
        <f>G48*$E48</f>
        <v>0</v>
      </c>
      <c r="AA48" s="706">
        <f>H48*$E48</f>
        <v>0</v>
      </c>
      <c r="AB48" s="706">
        <f>I48*$E48</f>
        <v>0</v>
      </c>
      <c r="AC48" s="706">
        <f>J48*$E48</f>
        <v>0</v>
      </c>
      <c r="AD48" s="706">
        <f>K48*$E48</f>
        <v>0</v>
      </c>
      <c r="AE48" s="706">
        <f>L48*$E48</f>
        <v>0</v>
      </c>
      <c r="AF48" s="706">
        <f>M48*$E48</f>
        <v>0</v>
      </c>
      <c r="AG48" s="706">
        <f>N48*$E48</f>
        <v>0</v>
      </c>
      <c r="AH48" s="706">
        <f>O48*$E48</f>
        <v>0</v>
      </c>
      <c r="AI48" s="706">
        <f>P48*$E48</f>
        <v>0</v>
      </c>
      <c r="AJ48" s="706">
        <f>Q48*$E48</f>
        <v>0</v>
      </c>
      <c r="AK48" s="706">
        <f>R48*$E48</f>
        <v>0</v>
      </c>
    </row>
    <row r="49" spans="1:37">
      <c r="A49" s="950">
        <f t="shared" si="15"/>
        <v>0</v>
      </c>
      <c r="B49" s="653">
        <f t="shared" si="18"/>
        <v>0</v>
      </c>
      <c r="C49" s="654">
        <f t="shared" si="18"/>
        <v>0</v>
      </c>
      <c r="D49" s="654"/>
      <c r="E49" s="653">
        <f t="shared" si="17"/>
        <v>0</v>
      </c>
      <c r="F49" s="653"/>
      <c r="G49" s="747"/>
      <c r="H49" s="747"/>
      <c r="I49" s="747"/>
      <c r="J49" s="747"/>
      <c r="K49" s="747"/>
      <c r="L49" s="747"/>
      <c r="M49" s="747"/>
      <c r="N49" s="747"/>
      <c r="O49" s="747"/>
      <c r="P49" s="747"/>
      <c r="Q49" s="747"/>
      <c r="R49" s="952"/>
      <c r="S49" s="657"/>
      <c r="T49" s="648"/>
      <c r="U49" s="648"/>
      <c r="Z49" s="706">
        <f>G49*$E49</f>
        <v>0</v>
      </c>
      <c r="AA49" s="706">
        <f>H49*$E49</f>
        <v>0</v>
      </c>
      <c r="AB49" s="706">
        <f>I49*$E49</f>
        <v>0</v>
      </c>
      <c r="AC49" s="706">
        <f>J49*$E49</f>
        <v>0</v>
      </c>
      <c r="AD49" s="706">
        <f>K49*$E49</f>
        <v>0</v>
      </c>
      <c r="AE49" s="706">
        <f>L49*$E49</f>
        <v>0</v>
      </c>
      <c r="AF49" s="706">
        <f>M49*$E49</f>
        <v>0</v>
      </c>
      <c r="AG49" s="706">
        <f>N49*$E49</f>
        <v>0</v>
      </c>
      <c r="AH49" s="706">
        <f>O49*$E49</f>
        <v>0</v>
      </c>
      <c r="AI49" s="706">
        <f>P49*$E49</f>
        <v>0</v>
      </c>
      <c r="AJ49" s="706">
        <f>Q49*$E49</f>
        <v>0</v>
      </c>
      <c r="AK49" s="706">
        <f>R49*$E49</f>
        <v>0</v>
      </c>
    </row>
    <row r="50" spans="1:37" ht="15.75">
      <c r="A50" s="948" t="str">
        <f t="shared" si="15"/>
        <v>Total/Wtd.Avg.</v>
      </c>
      <c r="B50" s="651">
        <f t="shared" si="18"/>
        <v>0</v>
      </c>
      <c r="C50" s="652" t="e">
        <f t="shared" si="18"/>
        <v>#DIV/0!</v>
      </c>
      <c r="D50" s="652"/>
      <c r="E50" s="651">
        <f>SUM(E33:E49)</f>
        <v>0</v>
      </c>
      <c r="F50" s="651"/>
      <c r="G50" s="720" t="e">
        <f>Z50/$E$50</f>
        <v>#DIV/0!</v>
      </c>
      <c r="H50" s="720" t="e">
        <f>AA50/$E$50</f>
        <v>#DIV/0!</v>
      </c>
      <c r="I50" s="720" t="e">
        <f>AB50/$E$50</f>
        <v>#DIV/0!</v>
      </c>
      <c r="J50" s="720" t="e">
        <f>AC50/$E$50</f>
        <v>#DIV/0!</v>
      </c>
      <c r="K50" s="720" t="e">
        <f>AD50/$E$50</f>
        <v>#DIV/0!</v>
      </c>
      <c r="L50" s="720" t="e">
        <f>AE50/$E$50</f>
        <v>#DIV/0!</v>
      </c>
      <c r="M50" s="720" t="e">
        <f>AF50/$E$50</f>
        <v>#DIV/0!</v>
      </c>
      <c r="N50" s="720" t="e">
        <f>AG50/$E$50</f>
        <v>#DIV/0!</v>
      </c>
      <c r="O50" s="720" t="e">
        <f>AH50/$E$50</f>
        <v>#DIV/0!</v>
      </c>
      <c r="P50" s="720" t="e">
        <f>AI50/$E$50</f>
        <v>#DIV/0!</v>
      </c>
      <c r="Q50" s="720" t="e">
        <f>AJ50/$E$50</f>
        <v>#DIV/0!</v>
      </c>
      <c r="R50" s="953" t="e">
        <f>AK50/$E$50</f>
        <v>#DIV/0!</v>
      </c>
      <c r="S50" s="716"/>
      <c r="Z50" s="706">
        <f>SUM(Z33:Z49)</f>
        <v>0</v>
      </c>
      <c r="AA50" s="706">
        <f t="shared" ref="AA50:AK50" si="19">SUM(AA33:AA49)</f>
        <v>0</v>
      </c>
      <c r="AB50" s="706">
        <f t="shared" si="19"/>
        <v>0</v>
      </c>
      <c r="AC50" s="706">
        <f t="shared" si="19"/>
        <v>0</v>
      </c>
      <c r="AD50" s="706">
        <f t="shared" si="19"/>
        <v>0</v>
      </c>
      <c r="AE50" s="706">
        <f t="shared" si="19"/>
        <v>0</v>
      </c>
      <c r="AF50" s="706">
        <f t="shared" si="19"/>
        <v>0</v>
      </c>
      <c r="AG50" s="706">
        <f t="shared" si="19"/>
        <v>0</v>
      </c>
      <c r="AH50" s="706">
        <f t="shared" si="19"/>
        <v>0</v>
      </c>
      <c r="AI50" s="706">
        <f t="shared" si="19"/>
        <v>0</v>
      </c>
      <c r="AJ50" s="706">
        <f t="shared" si="19"/>
        <v>0</v>
      </c>
      <c r="AK50" s="706">
        <f t="shared" si="19"/>
        <v>0</v>
      </c>
    </row>
    <row r="51" spans="1:37" s="31" customFormat="1" ht="16.5" thickBot="1">
      <c r="A51" s="954" t="s">
        <v>577</v>
      </c>
      <c r="B51" s="955"/>
      <c r="C51" s="956"/>
      <c r="D51" s="956"/>
      <c r="E51" s="955"/>
      <c r="F51" s="955"/>
      <c r="G51" s="957" t="e">
        <f>G50*$E$50</f>
        <v>#DIV/0!</v>
      </c>
      <c r="H51" s="957" t="e">
        <f t="shared" ref="H51:R51" si="20">H50*$E$50</f>
        <v>#DIV/0!</v>
      </c>
      <c r="I51" s="957"/>
      <c r="J51" s="957" t="e">
        <f t="shared" si="20"/>
        <v>#DIV/0!</v>
      </c>
      <c r="K51" s="957"/>
      <c r="L51" s="957" t="e">
        <f t="shared" si="20"/>
        <v>#DIV/0!</v>
      </c>
      <c r="M51" s="957" t="e">
        <f t="shared" si="20"/>
        <v>#DIV/0!</v>
      </c>
      <c r="N51" s="957"/>
      <c r="O51" s="957" t="e">
        <f t="shared" si="20"/>
        <v>#DIV/0!</v>
      </c>
      <c r="P51" s="957"/>
      <c r="Q51" s="957" t="e">
        <f t="shared" si="20"/>
        <v>#DIV/0!</v>
      </c>
      <c r="R51" s="958" t="e">
        <f t="shared" si="20"/>
        <v>#DIV/0!</v>
      </c>
      <c r="S51" s="717"/>
    </row>
    <row r="52" spans="1:37" ht="15.75">
      <c r="A52" s="647"/>
      <c r="B52" s="647"/>
      <c r="C52" s="647"/>
      <c r="D52" s="647"/>
      <c r="E52" s="647"/>
      <c r="F52" s="647"/>
    </row>
    <row r="53" spans="1:37" ht="16.5" thickBot="1">
      <c r="A53" s="385" t="s">
        <v>628</v>
      </c>
      <c r="B53" s="780" t="s">
        <v>476</v>
      </c>
      <c r="C53" s="780"/>
      <c r="D53" s="780"/>
      <c r="E53" s="780"/>
      <c r="F53" s="780"/>
      <c r="G53" s="780"/>
      <c r="H53" s="645"/>
      <c r="I53" s="645"/>
      <c r="J53" s="645"/>
      <c r="K53" s="645"/>
    </row>
    <row r="54" spans="1:37" ht="15.75" customHeight="1" thickBot="1">
      <c r="A54" s="783" t="s">
        <v>0</v>
      </c>
      <c r="B54" s="758" t="s">
        <v>202</v>
      </c>
      <c r="C54" s="785" t="s">
        <v>203</v>
      </c>
      <c r="D54" s="786"/>
      <c r="E54" s="786"/>
      <c r="F54" s="786"/>
      <c r="G54" s="787"/>
    </row>
    <row r="55" spans="1:37" ht="16.5" thickBot="1">
      <c r="A55" s="784"/>
      <c r="B55" s="974" t="s">
        <v>206</v>
      </c>
      <c r="C55" s="975" t="s">
        <v>189</v>
      </c>
      <c r="D55" s="976"/>
      <c r="E55" s="977" t="s">
        <v>207</v>
      </c>
      <c r="F55" s="978"/>
      <c r="G55" s="979" t="s">
        <v>211</v>
      </c>
    </row>
    <row r="56" spans="1:37" ht="15.75">
      <c r="A56" s="666" t="s">
        <v>648</v>
      </c>
      <c r="B56" s="667"/>
      <c r="C56" s="668"/>
      <c r="D56" s="668"/>
      <c r="E56" s="669"/>
      <c r="F56" s="709"/>
      <c r="G56" s="670"/>
    </row>
    <row r="57" spans="1:37">
      <c r="A57" s="425"/>
      <c r="B57" s="734"/>
      <c r="C57" s="431"/>
      <c r="D57" s="431"/>
      <c r="E57" s="430"/>
      <c r="F57" s="361"/>
      <c r="G57" s="427"/>
    </row>
    <row r="58" spans="1:37">
      <c r="A58" s="425"/>
      <c r="B58" s="734"/>
      <c r="C58" s="431"/>
      <c r="D58" s="431"/>
      <c r="E58" s="430"/>
      <c r="F58" s="361"/>
      <c r="G58" s="427"/>
    </row>
    <row r="59" spans="1:37">
      <c r="A59" s="425"/>
      <c r="B59" s="734"/>
      <c r="C59" s="431"/>
      <c r="D59" s="431"/>
      <c r="E59" s="430"/>
      <c r="F59" s="361"/>
      <c r="G59" s="427"/>
    </row>
    <row r="60" spans="1:37">
      <c r="A60" s="425"/>
      <c r="B60" s="734"/>
      <c r="C60" s="431"/>
      <c r="D60" s="431"/>
      <c r="E60" s="430"/>
      <c r="F60" s="361"/>
      <c r="G60" s="427"/>
    </row>
    <row r="61" spans="1:37">
      <c r="A61" s="425"/>
      <c r="B61" s="734"/>
      <c r="C61" s="431"/>
      <c r="D61" s="431"/>
      <c r="E61" s="430"/>
      <c r="F61" s="361"/>
      <c r="G61" s="427"/>
    </row>
    <row r="62" spans="1:37">
      <c r="A62" s="425"/>
      <c r="B62" s="734"/>
      <c r="C62" s="431"/>
      <c r="D62" s="431"/>
      <c r="E62" s="430"/>
      <c r="F62" s="361"/>
      <c r="G62" s="427"/>
    </row>
    <row r="63" spans="1:37" ht="15.75">
      <c r="A63" s="675" t="s">
        <v>649</v>
      </c>
      <c r="B63" s="671"/>
      <c r="C63" s="672"/>
      <c r="D63" s="672"/>
      <c r="E63" s="673"/>
      <c r="F63" s="710"/>
      <c r="G63" s="674"/>
    </row>
    <row r="64" spans="1:37">
      <c r="A64" s="425"/>
      <c r="B64" s="734"/>
      <c r="C64" s="431"/>
      <c r="D64" s="431"/>
      <c r="E64" s="430"/>
      <c r="F64" s="361"/>
      <c r="G64" s="427"/>
    </row>
    <row r="65" spans="1:7">
      <c r="A65" s="661"/>
      <c r="B65" s="734"/>
      <c r="C65" s="431"/>
      <c r="D65" s="662"/>
      <c r="E65" s="663"/>
      <c r="F65" s="366"/>
      <c r="G65" s="427"/>
    </row>
    <row r="66" spans="1:7">
      <c r="A66" s="661"/>
      <c r="B66" s="734"/>
      <c r="C66" s="431"/>
      <c r="D66" s="662"/>
      <c r="E66" s="663"/>
      <c r="F66" s="366"/>
      <c r="G66" s="664"/>
    </row>
    <row r="67" spans="1:7">
      <c r="A67" s="661"/>
      <c r="B67" s="734"/>
      <c r="C67" s="431"/>
      <c r="D67" s="662"/>
      <c r="E67" s="663"/>
      <c r="F67" s="366"/>
      <c r="G67" s="664"/>
    </row>
    <row r="68" spans="1:7">
      <c r="A68" s="661"/>
      <c r="B68" s="734"/>
      <c r="C68" s="431"/>
      <c r="D68" s="662"/>
      <c r="E68" s="663"/>
      <c r="F68" s="366"/>
      <c r="G68" s="664"/>
    </row>
    <row r="69" spans="1:7">
      <c r="A69" s="661"/>
      <c r="B69" s="734"/>
      <c r="C69" s="431"/>
      <c r="D69" s="662"/>
      <c r="E69" s="663"/>
      <c r="F69" s="366"/>
      <c r="G69" s="664"/>
    </row>
    <row r="70" spans="1:7">
      <c r="A70" s="661"/>
      <c r="B70" s="734"/>
      <c r="C70" s="431"/>
      <c r="D70" s="662"/>
      <c r="E70" s="663"/>
      <c r="F70" s="366"/>
      <c r="G70" s="664"/>
    </row>
    <row r="71" spans="1:7">
      <c r="A71" s="661"/>
      <c r="B71" s="734"/>
      <c r="C71" s="431"/>
      <c r="D71" s="662"/>
      <c r="E71" s="663"/>
      <c r="F71" s="366"/>
      <c r="G71" s="664"/>
    </row>
    <row r="72" spans="1:7">
      <c r="A72" s="661"/>
      <c r="B72" s="734"/>
      <c r="C72" s="431"/>
      <c r="D72" s="662"/>
      <c r="E72" s="663"/>
      <c r="F72" s="366"/>
      <c r="G72" s="664"/>
    </row>
    <row r="73" spans="1:7">
      <c r="A73" s="661"/>
      <c r="B73" s="734"/>
      <c r="C73" s="431"/>
      <c r="D73" s="662"/>
      <c r="E73" s="663"/>
      <c r="F73" s="366"/>
      <c r="G73" s="664"/>
    </row>
    <row r="74" spans="1:7" ht="15.75">
      <c r="A74" s="680" t="s">
        <v>650</v>
      </c>
      <c r="B74" s="676"/>
      <c r="C74" s="677"/>
      <c r="D74" s="677"/>
      <c r="E74" s="678"/>
      <c r="F74" s="735"/>
      <c r="G74" s="679"/>
    </row>
    <row r="75" spans="1:7">
      <c r="A75" s="661"/>
      <c r="B75" s="734"/>
      <c r="C75" s="431"/>
      <c r="D75" s="662"/>
      <c r="E75" s="663"/>
      <c r="F75" s="366"/>
      <c r="G75" s="664"/>
    </row>
    <row r="76" spans="1:7">
      <c r="A76" s="661"/>
      <c r="B76" s="734"/>
      <c r="C76" s="431"/>
      <c r="D76" s="662"/>
      <c r="E76" s="663"/>
      <c r="F76" s="366"/>
      <c r="G76" s="664"/>
    </row>
    <row r="77" spans="1:7">
      <c r="A77" s="661"/>
      <c r="B77" s="734"/>
      <c r="C77" s="431"/>
      <c r="D77" s="662"/>
      <c r="E77" s="663"/>
      <c r="F77" s="366"/>
      <c r="G77" s="664"/>
    </row>
    <row r="78" spans="1:7">
      <c r="A78" s="661"/>
      <c r="B78" s="734"/>
      <c r="C78" s="431"/>
      <c r="D78" s="662"/>
      <c r="E78" s="663"/>
      <c r="F78" s="366"/>
      <c r="G78" s="664"/>
    </row>
    <row r="79" spans="1:7">
      <c r="A79" s="661"/>
      <c r="B79" s="734"/>
      <c r="C79" s="431"/>
      <c r="D79" s="662"/>
      <c r="E79" s="663"/>
      <c r="F79" s="366"/>
      <c r="G79" s="664"/>
    </row>
    <row r="80" spans="1:7">
      <c r="A80" s="661"/>
      <c r="B80" s="734"/>
      <c r="C80" s="431"/>
      <c r="D80" s="662"/>
      <c r="E80" s="663"/>
      <c r="F80" s="366"/>
      <c r="G80" s="664"/>
    </row>
    <row r="81" spans="1:7">
      <c r="A81" s="661"/>
      <c r="B81" s="734"/>
      <c r="C81" s="431"/>
      <c r="D81" s="662"/>
      <c r="E81" s="663"/>
      <c r="F81" s="366"/>
      <c r="G81" s="664"/>
    </row>
    <row r="82" spans="1:7">
      <c r="A82" s="661"/>
      <c r="B82" s="734"/>
      <c r="C82" s="431"/>
      <c r="D82" s="662"/>
      <c r="E82" s="663"/>
      <c r="F82" s="366"/>
      <c r="G82" s="664"/>
    </row>
    <row r="83" spans="1:7">
      <c r="A83" s="661"/>
      <c r="B83" s="734"/>
      <c r="C83" s="431"/>
      <c r="D83" s="662"/>
      <c r="E83" s="663"/>
      <c r="F83" s="366"/>
      <c r="G83" s="664"/>
    </row>
    <row r="84" spans="1:7">
      <c r="A84" s="661"/>
      <c r="B84" s="734"/>
      <c r="C84" s="431"/>
      <c r="D84" s="662"/>
      <c r="E84" s="663"/>
      <c r="F84" s="366"/>
      <c r="G84" s="664"/>
    </row>
    <row r="85" spans="1:7">
      <c r="A85" s="661"/>
      <c r="B85" s="734"/>
      <c r="C85" s="431"/>
      <c r="D85" s="662"/>
      <c r="E85" s="663"/>
      <c r="F85" s="366"/>
      <c r="G85" s="664"/>
    </row>
    <row r="86" spans="1:7" ht="15.75">
      <c r="A86" s="680" t="s">
        <v>651</v>
      </c>
      <c r="B86" s="676"/>
      <c r="C86" s="677"/>
      <c r="D86" s="677"/>
      <c r="E86" s="678"/>
      <c r="F86" s="735"/>
      <c r="G86" s="679"/>
    </row>
    <row r="87" spans="1:7">
      <c r="A87" s="661"/>
      <c r="B87" s="734"/>
      <c r="C87" s="431"/>
      <c r="D87" s="662"/>
      <c r="E87" s="663"/>
      <c r="F87" s="366"/>
      <c r="G87" s="664"/>
    </row>
    <row r="88" spans="1:7">
      <c r="A88" s="661"/>
      <c r="B88" s="734"/>
      <c r="C88" s="431"/>
      <c r="D88" s="662"/>
      <c r="E88" s="663"/>
      <c r="F88" s="366"/>
      <c r="G88" s="664"/>
    </row>
    <row r="89" spans="1:7">
      <c r="A89" s="661"/>
      <c r="B89" s="734"/>
      <c r="C89" s="431"/>
      <c r="D89" s="662"/>
      <c r="E89" s="663"/>
      <c r="F89" s="366"/>
      <c r="G89" s="664"/>
    </row>
    <row r="90" spans="1:7">
      <c r="A90" s="661"/>
      <c r="B90" s="734"/>
      <c r="C90" s="431"/>
      <c r="D90" s="662"/>
      <c r="E90" s="663"/>
      <c r="F90" s="366"/>
      <c r="G90" s="664"/>
    </row>
    <row r="91" spans="1:7">
      <c r="A91" s="661"/>
      <c r="B91" s="734"/>
      <c r="C91" s="431"/>
      <c r="D91" s="662"/>
      <c r="E91" s="663"/>
      <c r="F91" s="366"/>
      <c r="G91" s="664"/>
    </row>
    <row r="92" spans="1:7">
      <c r="A92" s="661"/>
      <c r="B92" s="734"/>
      <c r="C92" s="431"/>
      <c r="D92" s="662"/>
      <c r="E92" s="663"/>
      <c r="F92" s="366"/>
      <c r="G92" s="664"/>
    </row>
    <row r="93" spans="1:7">
      <c r="A93" s="661"/>
      <c r="B93" s="734"/>
      <c r="C93" s="431"/>
      <c r="D93" s="662"/>
      <c r="E93" s="663"/>
      <c r="F93" s="366"/>
      <c r="G93" s="664"/>
    </row>
    <row r="94" spans="1:7">
      <c r="A94" s="661"/>
      <c r="B94" s="734"/>
      <c r="C94" s="431"/>
      <c r="D94" s="662"/>
      <c r="E94" s="663"/>
      <c r="F94" s="366"/>
      <c r="G94" s="664"/>
    </row>
    <row r="95" spans="1:7">
      <c r="A95" s="661"/>
      <c r="B95" s="734"/>
      <c r="C95" s="431"/>
      <c r="D95" s="662"/>
      <c r="E95" s="663"/>
      <c r="F95" s="366"/>
      <c r="G95" s="664"/>
    </row>
    <row r="96" spans="1:7" ht="15.75">
      <c r="A96" s="680" t="s">
        <v>652</v>
      </c>
      <c r="B96" s="676"/>
      <c r="C96" s="677"/>
      <c r="D96" s="677"/>
      <c r="E96" s="678"/>
      <c r="F96" s="735"/>
      <c r="G96" s="679"/>
    </row>
    <row r="97" spans="1:11">
      <c r="A97" s="661"/>
      <c r="B97" s="734"/>
      <c r="C97" s="431"/>
      <c r="D97" s="662"/>
      <c r="E97" s="663"/>
      <c r="F97" s="366"/>
      <c r="G97" s="664"/>
    </row>
    <row r="98" spans="1:11">
      <c r="A98" s="661"/>
      <c r="B98" s="734"/>
      <c r="C98" s="431"/>
      <c r="D98" s="662"/>
      <c r="E98" s="663"/>
      <c r="F98" s="366"/>
      <c r="G98" s="664"/>
    </row>
    <row r="99" spans="1:11">
      <c r="A99" s="661"/>
      <c r="B99" s="734"/>
      <c r="C99" s="662"/>
      <c r="D99" s="662"/>
      <c r="E99" s="663"/>
      <c r="F99" s="366"/>
      <c r="G99" s="664"/>
    </row>
    <row r="100" spans="1:11">
      <c r="A100" s="661"/>
      <c r="B100" s="734"/>
      <c r="C100" s="662"/>
      <c r="D100" s="662"/>
      <c r="E100" s="663"/>
      <c r="F100" s="366"/>
      <c r="G100" s="664"/>
    </row>
    <row r="101" spans="1:11" ht="15.75">
      <c r="A101" s="680" t="s">
        <v>653</v>
      </c>
      <c r="B101" s="676"/>
      <c r="C101" s="677"/>
      <c r="D101" s="677"/>
      <c r="E101" s="678"/>
      <c r="F101" s="735"/>
      <c r="G101" s="679"/>
    </row>
    <row r="102" spans="1:11" ht="15.75">
      <c r="A102" s="661"/>
      <c r="B102" s="685"/>
      <c r="C102" s="662"/>
      <c r="D102" s="662"/>
      <c r="E102" s="663"/>
      <c r="F102" s="366"/>
      <c r="G102" s="664"/>
    </row>
    <row r="103" spans="1:11" ht="15.75">
      <c r="A103" s="661"/>
      <c r="B103" s="685"/>
      <c r="C103" s="662"/>
      <c r="D103" s="662"/>
      <c r="E103" s="663"/>
      <c r="F103" s="366"/>
      <c r="G103" s="664"/>
    </row>
    <row r="104" spans="1:11" ht="15.75">
      <c r="A104" s="680" t="s">
        <v>654</v>
      </c>
      <c r="B104" s="681"/>
      <c r="C104" s="682"/>
      <c r="D104" s="682"/>
      <c r="E104" s="683"/>
      <c r="F104" s="711"/>
      <c r="G104" s="684"/>
    </row>
    <row r="105" spans="1:11" ht="16.5" thickBot="1">
      <c r="A105" s="428"/>
      <c r="B105" s="980"/>
      <c r="C105" s="432"/>
      <c r="D105" s="432"/>
      <c r="E105" s="429"/>
      <c r="F105" s="367"/>
      <c r="G105" s="362"/>
    </row>
    <row r="106" spans="1:11" ht="30" customHeight="1">
      <c r="A106" s="771" t="s">
        <v>514</v>
      </c>
      <c r="B106" s="771"/>
      <c r="C106" s="771"/>
      <c r="D106" s="771"/>
      <c r="E106" s="771"/>
      <c r="F106" s="771"/>
      <c r="G106" s="771"/>
      <c r="H106" s="646"/>
      <c r="I106" s="646"/>
      <c r="J106" s="646"/>
      <c r="K106" s="646"/>
    </row>
  </sheetData>
  <sheetProtection password="DA39" sheet="1" objects="1" scenarios="1" selectLockedCells="1"/>
  <mergeCells count="14">
    <mergeCell ref="A106:G106"/>
    <mergeCell ref="B31:E31"/>
    <mergeCell ref="G29:R29"/>
    <mergeCell ref="A2:Y2"/>
    <mergeCell ref="A4:B4"/>
    <mergeCell ref="C4:AB4"/>
    <mergeCell ref="X5:Y5"/>
    <mergeCell ref="A54:A55"/>
    <mergeCell ref="C54:G54"/>
    <mergeCell ref="B7:E7"/>
    <mergeCell ref="G7:J7"/>
    <mergeCell ref="L7:O7"/>
    <mergeCell ref="Q7:T7"/>
    <mergeCell ref="B53:G53"/>
  </mergeCells>
  <printOptions horizontalCentered="1"/>
  <pageMargins left="0.25" right="0.25" top="0.75" bottom="0.75" header="0.3" footer="0.3"/>
  <pageSetup scale="60" fitToHeight="2" orientation="landscape" r:id="rId1"/>
  <headerFooter>
    <oddFooter>&amp;L&amp;F&amp;R&amp;A</oddFooter>
  </headerFooter>
  <rowBreaks count="1" manualBreakCount="1">
    <brk id="52" max="27" man="1"/>
  </rowBreaks>
  <legacyDrawing r:id="rId2"/>
</worksheet>
</file>

<file path=xl/worksheets/sheet4.xml><?xml version="1.0" encoding="utf-8"?>
<worksheet xmlns="http://schemas.openxmlformats.org/spreadsheetml/2006/main" xmlns:r="http://schemas.openxmlformats.org/officeDocument/2006/relationships">
  <dimension ref="A1:P47"/>
  <sheetViews>
    <sheetView showGridLines="0" workbookViewId="0">
      <selection activeCell="I11" sqref="I11"/>
    </sheetView>
  </sheetViews>
  <sheetFormatPr defaultRowHeight="15"/>
  <cols>
    <col min="1" max="1" width="35.140625" style="384" customWidth="1"/>
    <col min="2" max="2" width="10.28515625" style="384" customWidth="1"/>
    <col min="3" max="3" width="8.28515625" style="20" customWidth="1"/>
    <col min="4" max="4" width="10.85546875" style="20" customWidth="1"/>
    <col min="5" max="12" width="8.28515625" style="20" customWidth="1"/>
    <col min="13" max="13" width="9.28515625" style="20" customWidth="1"/>
    <col min="14" max="14" width="8.5703125" style="20" customWidth="1"/>
    <col min="15" max="15" width="11.85546875" style="20" customWidth="1"/>
    <col min="16" max="16" width="11.7109375" style="384" customWidth="1"/>
    <col min="17" max="22" width="8.5703125" style="20" customWidth="1"/>
    <col min="23" max="16384" width="9.140625" style="20"/>
  </cols>
  <sheetData>
    <row r="1" spans="1:16" ht="15.75" thickBot="1"/>
    <row r="2" spans="1:16" ht="25.5" customHeight="1" thickBot="1">
      <c r="A2" s="766" t="s">
        <v>472</v>
      </c>
      <c r="B2" s="767"/>
      <c r="C2" s="793"/>
      <c r="D2" s="793"/>
      <c r="E2" s="793"/>
      <c r="F2" s="793"/>
      <c r="G2" s="793"/>
      <c r="H2" s="793"/>
      <c r="I2" s="793"/>
      <c r="J2" s="794"/>
    </row>
    <row r="4" spans="1:16" ht="31.5" customHeight="1">
      <c r="A4" s="789" t="s">
        <v>629</v>
      </c>
      <c r="B4" s="789"/>
      <c r="C4" s="789"/>
    </row>
    <row r="5" spans="1:16" s="451" customFormat="1" ht="25.5" customHeight="1">
      <c r="A5" s="965"/>
      <c r="B5" s="966" t="s">
        <v>602</v>
      </c>
      <c r="C5" s="966"/>
      <c r="D5" s="966"/>
      <c r="E5" s="966"/>
      <c r="F5" s="966"/>
      <c r="G5" s="966"/>
      <c r="H5" s="966"/>
      <c r="I5" s="966"/>
      <c r="J5" s="966"/>
      <c r="K5" s="966"/>
      <c r="L5" s="967" t="s">
        <v>457</v>
      </c>
      <c r="M5" s="967"/>
      <c r="N5" s="967"/>
      <c r="O5" s="968" t="s">
        <v>255</v>
      </c>
    </row>
    <row r="6" spans="1:16" s="452" customFormat="1" ht="31.5">
      <c r="A6" s="969" t="s">
        <v>252</v>
      </c>
      <c r="B6" s="970">
        <f>'1'!B21</f>
        <v>0</v>
      </c>
      <c r="C6" s="970">
        <f>B6+1</f>
        <v>1</v>
      </c>
      <c r="D6" s="970">
        <f t="shared" ref="D6:K6" si="0">C6+1</f>
        <v>2</v>
      </c>
      <c r="E6" s="970">
        <f t="shared" si="0"/>
        <v>3</v>
      </c>
      <c r="F6" s="970">
        <f t="shared" si="0"/>
        <v>4</v>
      </c>
      <c r="G6" s="970">
        <f t="shared" si="0"/>
        <v>5</v>
      </c>
      <c r="H6" s="970">
        <f t="shared" si="0"/>
        <v>6</v>
      </c>
      <c r="I6" s="970">
        <f t="shared" si="0"/>
        <v>7</v>
      </c>
      <c r="J6" s="970">
        <f t="shared" si="0"/>
        <v>8</v>
      </c>
      <c r="K6" s="970">
        <f t="shared" si="0"/>
        <v>9</v>
      </c>
      <c r="L6" s="968" t="s">
        <v>190</v>
      </c>
      <c r="M6" s="968" t="s">
        <v>191</v>
      </c>
      <c r="N6" s="968" t="s">
        <v>460</v>
      </c>
      <c r="O6" s="968" t="s">
        <v>458</v>
      </c>
    </row>
    <row r="7" spans="1:16" ht="15.75">
      <c r="A7" s="971" t="s">
        <v>258</v>
      </c>
      <c r="B7" s="426"/>
      <c r="C7" s="426"/>
      <c r="D7" s="426"/>
      <c r="E7" s="426"/>
      <c r="F7" s="426"/>
      <c r="G7" s="426"/>
      <c r="H7" s="426"/>
      <c r="I7" s="426"/>
      <c r="J7" s="426"/>
      <c r="K7" s="426"/>
      <c r="L7" s="426"/>
      <c r="M7" s="426"/>
      <c r="N7" s="426"/>
      <c r="O7" s="972"/>
      <c r="P7" s="20"/>
    </row>
    <row r="8" spans="1:16" ht="15.75">
      <c r="A8" s="971" t="s">
        <v>259</v>
      </c>
      <c r="B8" s="426"/>
      <c r="C8" s="426"/>
      <c r="D8" s="426"/>
      <c r="E8" s="426"/>
      <c r="F8" s="426"/>
      <c r="G8" s="426"/>
      <c r="H8" s="426"/>
      <c r="I8" s="426"/>
      <c r="J8" s="426"/>
      <c r="K8" s="426"/>
      <c r="L8" s="426"/>
      <c r="M8" s="426"/>
      <c r="N8" s="426"/>
      <c r="O8" s="972"/>
      <c r="P8" s="20"/>
    </row>
    <row r="9" spans="1:16" ht="15.75">
      <c r="A9" s="971" t="s">
        <v>260</v>
      </c>
      <c r="B9" s="426"/>
      <c r="C9" s="426"/>
      <c r="D9" s="426"/>
      <c r="E9" s="426"/>
      <c r="F9" s="426"/>
      <c r="G9" s="426"/>
      <c r="H9" s="426"/>
      <c r="I9" s="426"/>
      <c r="J9" s="426"/>
      <c r="K9" s="426"/>
      <c r="L9" s="426"/>
      <c r="M9" s="426"/>
      <c r="N9" s="426"/>
      <c r="O9" s="972"/>
      <c r="P9" s="20"/>
    </row>
    <row r="10" spans="1:16" ht="15.75">
      <c r="A10" s="971" t="s">
        <v>261</v>
      </c>
      <c r="B10" s="426"/>
      <c r="C10" s="426"/>
      <c r="D10" s="426"/>
      <c r="E10" s="426"/>
      <c r="F10" s="426"/>
      <c r="G10" s="426"/>
      <c r="H10" s="426"/>
      <c r="I10" s="426"/>
      <c r="J10" s="426"/>
      <c r="K10" s="426"/>
      <c r="L10" s="426"/>
      <c r="M10" s="426"/>
      <c r="N10" s="426"/>
      <c r="O10" s="972"/>
      <c r="P10" s="20"/>
    </row>
    <row r="11" spans="1:16" ht="15.75">
      <c r="A11" s="971" t="s">
        <v>262</v>
      </c>
      <c r="B11" s="426"/>
      <c r="C11" s="426"/>
      <c r="D11" s="426"/>
      <c r="E11" s="426"/>
      <c r="F11" s="426"/>
      <c r="G11" s="426"/>
      <c r="H11" s="426"/>
      <c r="I11" s="426"/>
      <c r="J11" s="426"/>
      <c r="K11" s="426"/>
      <c r="L11" s="426"/>
      <c r="M11" s="426"/>
      <c r="N11" s="426"/>
      <c r="O11" s="972"/>
      <c r="P11" s="20"/>
    </row>
    <row r="12" spans="1:16" ht="15.75">
      <c r="A12" s="971" t="s">
        <v>264</v>
      </c>
      <c r="B12" s="426"/>
      <c r="C12" s="426"/>
      <c r="D12" s="426"/>
      <c r="E12" s="426"/>
      <c r="F12" s="426"/>
      <c r="G12" s="426"/>
      <c r="H12" s="426"/>
      <c r="I12" s="426"/>
      <c r="J12" s="426"/>
      <c r="K12" s="426"/>
      <c r="L12" s="426"/>
      <c r="M12" s="426"/>
      <c r="N12" s="426"/>
      <c r="O12" s="972"/>
      <c r="P12" s="20"/>
    </row>
    <row r="13" spans="1:16" ht="15.75">
      <c r="A13" s="971" t="s">
        <v>580</v>
      </c>
      <c r="B13" s="426"/>
      <c r="C13" s="426"/>
      <c r="D13" s="426"/>
      <c r="E13" s="426"/>
      <c r="F13" s="426"/>
      <c r="G13" s="426"/>
      <c r="H13" s="426"/>
      <c r="I13" s="426"/>
      <c r="J13" s="426"/>
      <c r="K13" s="426"/>
      <c r="L13" s="426"/>
      <c r="M13" s="426"/>
      <c r="N13" s="426"/>
      <c r="O13" s="972"/>
      <c r="P13" s="20"/>
    </row>
    <row r="14" spans="1:16" ht="16.5" thickBot="1">
      <c r="A14" s="971" t="s">
        <v>263</v>
      </c>
      <c r="B14" s="426"/>
      <c r="C14" s="426"/>
      <c r="D14" s="426"/>
      <c r="E14" s="426"/>
      <c r="F14" s="426"/>
      <c r="G14" s="973"/>
      <c r="H14" s="426"/>
      <c r="I14" s="426"/>
      <c r="J14" s="426"/>
      <c r="K14" s="426"/>
      <c r="L14" s="426"/>
      <c r="M14" s="426"/>
      <c r="N14" s="426"/>
      <c r="O14" s="972"/>
      <c r="P14" s="20"/>
    </row>
    <row r="15" spans="1:16" ht="16.5" thickBot="1">
      <c r="A15" s="962" t="s">
        <v>603</v>
      </c>
      <c r="B15" s="963"/>
      <c r="C15" s="964"/>
      <c r="D15" s="964"/>
      <c r="E15" s="964"/>
      <c r="F15" s="964"/>
      <c r="G15" s="607"/>
      <c r="H15" s="455"/>
      <c r="I15" s="455"/>
      <c r="J15" s="455"/>
      <c r="K15" s="455"/>
      <c r="L15" s="455"/>
      <c r="M15" s="455"/>
      <c r="N15" s="455"/>
      <c r="O15" s="455"/>
      <c r="P15" s="456"/>
    </row>
    <row r="16" spans="1:16" ht="15.75">
      <c r="A16" s="656"/>
      <c r="B16" s="656"/>
      <c r="C16" s="657"/>
      <c r="D16" s="657"/>
      <c r="E16" s="657"/>
      <c r="F16" s="657"/>
      <c r="G16" s="655"/>
      <c r="H16" s="455"/>
      <c r="I16" s="455"/>
      <c r="J16" s="455"/>
      <c r="K16" s="455"/>
      <c r="L16" s="455"/>
      <c r="M16" s="455"/>
      <c r="N16" s="455"/>
      <c r="O16" s="455"/>
      <c r="P16" s="456"/>
    </row>
    <row r="17" spans="1:12" ht="27.75" customHeight="1" thickBot="1">
      <c r="A17" s="789" t="s">
        <v>630</v>
      </c>
      <c r="B17" s="789"/>
      <c r="C17" s="789"/>
    </row>
    <row r="18" spans="1:12" s="384" customFormat="1" ht="16.5" thickBot="1">
      <c r="A18" s="795"/>
      <c r="B18" s="796"/>
      <c r="C18" s="922">
        <f>'1'!B20</f>
        <v>0</v>
      </c>
      <c r="D18" s="922">
        <f>C18+1</f>
        <v>1</v>
      </c>
      <c r="E18" s="922">
        <f t="shared" ref="E18:J18" si="1">D18+1</f>
        <v>2</v>
      </c>
      <c r="F18" s="922">
        <f t="shared" si="1"/>
        <v>3</v>
      </c>
      <c r="G18" s="922">
        <f t="shared" si="1"/>
        <v>4</v>
      </c>
      <c r="H18" s="922">
        <f t="shared" si="1"/>
        <v>5</v>
      </c>
      <c r="I18" s="922">
        <f t="shared" si="1"/>
        <v>6</v>
      </c>
      <c r="J18" s="923">
        <f t="shared" si="1"/>
        <v>7</v>
      </c>
      <c r="K18" s="452"/>
      <c r="L18" s="452"/>
    </row>
    <row r="19" spans="1:12" ht="15.75">
      <c r="A19" s="797" t="s">
        <v>477</v>
      </c>
      <c r="B19" s="798"/>
      <c r="C19" s="441"/>
      <c r="D19" s="441"/>
      <c r="E19" s="441"/>
      <c r="F19" s="441"/>
      <c r="G19" s="441"/>
      <c r="H19" s="441"/>
      <c r="I19" s="441"/>
      <c r="J19" s="442"/>
    </row>
    <row r="20" spans="1:12" ht="16.5" thickBot="1">
      <c r="A20" s="799" t="s">
        <v>459</v>
      </c>
      <c r="B20" s="800"/>
      <c r="C20" s="443"/>
      <c r="D20" s="443"/>
      <c r="E20" s="443"/>
      <c r="F20" s="443"/>
      <c r="G20" s="443"/>
      <c r="H20" s="443"/>
      <c r="I20" s="443"/>
      <c r="J20" s="444"/>
    </row>
    <row r="21" spans="1:12" ht="16.5" thickBot="1">
      <c r="A21" s="457"/>
      <c r="B21" s="457"/>
      <c r="C21" s="458"/>
      <c r="D21" s="458"/>
      <c r="E21" s="458"/>
      <c r="F21" s="458"/>
      <c r="G21" s="458"/>
      <c r="H21" s="458"/>
      <c r="I21" s="458"/>
      <c r="J21" s="458"/>
    </row>
    <row r="22" spans="1:12" ht="16.5" thickBot="1">
      <c r="A22" s="790" t="s">
        <v>604</v>
      </c>
      <c r="B22" s="791"/>
      <c r="C22" s="791"/>
      <c r="D22" s="792"/>
    </row>
    <row r="23" spans="1:12" ht="63.75" thickBot="1">
      <c r="A23" s="803" t="s">
        <v>461</v>
      </c>
      <c r="B23" s="804"/>
      <c r="C23" s="805"/>
      <c r="D23" s="450" t="s">
        <v>659</v>
      </c>
    </row>
    <row r="24" spans="1:12" ht="15.75">
      <c r="A24" s="459" t="s">
        <v>246</v>
      </c>
      <c r="B24" s="460" t="s">
        <v>190</v>
      </c>
      <c r="C24" s="461"/>
      <c r="D24" s="445"/>
    </row>
    <row r="25" spans="1:12" ht="15.75">
      <c r="A25" s="453"/>
      <c r="B25" s="462" t="s">
        <v>191</v>
      </c>
      <c r="C25" s="463"/>
      <c r="D25" s="446"/>
    </row>
    <row r="26" spans="1:12" ht="15.75">
      <c r="A26" s="453"/>
      <c r="B26" s="462" t="s">
        <v>460</v>
      </c>
      <c r="C26" s="463"/>
      <c r="D26" s="446"/>
    </row>
    <row r="27" spans="1:12" ht="15.75">
      <c r="A27" s="453" t="s">
        <v>247</v>
      </c>
      <c r="B27" s="462" t="s">
        <v>190</v>
      </c>
      <c r="C27" s="463"/>
      <c r="D27" s="446"/>
    </row>
    <row r="28" spans="1:12" ht="15.75">
      <c r="A28" s="453"/>
      <c r="B28" s="462" t="s">
        <v>191</v>
      </c>
      <c r="C28" s="463"/>
      <c r="D28" s="446"/>
    </row>
    <row r="29" spans="1:12" ht="15.75">
      <c r="A29" s="453" t="s">
        <v>248</v>
      </c>
      <c r="B29" s="462"/>
      <c r="C29" s="414"/>
      <c r="D29" s="446"/>
    </row>
    <row r="30" spans="1:12" ht="16.5" thickBot="1">
      <c r="A30" s="454" t="s">
        <v>460</v>
      </c>
      <c r="B30" s="464"/>
      <c r="C30" s="418"/>
      <c r="D30" s="447"/>
    </row>
    <row r="31" spans="1:12" ht="15.75">
      <c r="A31" s="457"/>
      <c r="B31" s="457"/>
      <c r="C31" s="465"/>
      <c r="D31" s="465"/>
    </row>
    <row r="32" spans="1:12" ht="25.5" customHeight="1" thickBot="1">
      <c r="A32" s="789" t="s">
        <v>631</v>
      </c>
      <c r="B32" s="789"/>
      <c r="C32" s="789"/>
    </row>
    <row r="33" spans="1:12" s="384" customFormat="1" ht="30.75" customHeight="1" thickBot="1">
      <c r="A33" s="801" t="s">
        <v>462</v>
      </c>
      <c r="B33" s="802"/>
      <c r="C33" s="924">
        <f>'1'!B21</f>
        <v>0</v>
      </c>
      <c r="D33" s="922">
        <f>C33+1</f>
        <v>1</v>
      </c>
      <c r="E33" s="922">
        <f t="shared" ref="E33:L33" si="2">D33+1</f>
        <v>2</v>
      </c>
      <c r="F33" s="922">
        <f t="shared" si="2"/>
        <v>3</v>
      </c>
      <c r="G33" s="922">
        <f t="shared" si="2"/>
        <v>4</v>
      </c>
      <c r="H33" s="922">
        <f t="shared" si="2"/>
        <v>5</v>
      </c>
      <c r="I33" s="922">
        <f t="shared" si="2"/>
        <v>6</v>
      </c>
      <c r="J33" s="922">
        <f t="shared" si="2"/>
        <v>7</v>
      </c>
      <c r="K33" s="922">
        <f t="shared" si="2"/>
        <v>8</v>
      </c>
      <c r="L33" s="923">
        <f t="shared" si="2"/>
        <v>9</v>
      </c>
    </row>
    <row r="34" spans="1:12" ht="15.75">
      <c r="A34" s="466" t="s">
        <v>289</v>
      </c>
      <c r="B34" s="467"/>
      <c r="C34" s="4"/>
      <c r="D34" s="4"/>
      <c r="E34" s="4"/>
      <c r="F34" s="4"/>
      <c r="G34" s="4"/>
      <c r="H34" s="4"/>
      <c r="I34" s="4"/>
      <c r="J34" s="4"/>
      <c r="K34" s="4"/>
      <c r="L34" s="5"/>
    </row>
    <row r="35" spans="1:12" ht="15.75">
      <c r="A35" s="468" t="s">
        <v>290</v>
      </c>
      <c r="B35" s="469"/>
      <c r="C35" s="448"/>
      <c r="D35" s="448"/>
      <c r="E35" s="448"/>
      <c r="F35" s="448"/>
      <c r="G35" s="448"/>
      <c r="H35" s="448"/>
      <c r="I35" s="448"/>
      <c r="J35" s="448"/>
      <c r="K35" s="448"/>
      <c r="L35" s="449"/>
    </row>
    <row r="36" spans="1:12" ht="15.75">
      <c r="A36" s="468" t="s">
        <v>463</v>
      </c>
      <c r="B36" s="469"/>
      <c r="C36" s="430"/>
      <c r="D36" s="430"/>
      <c r="E36" s="430"/>
      <c r="F36" s="430"/>
      <c r="G36" s="430"/>
      <c r="H36" s="430"/>
      <c r="I36" s="430"/>
      <c r="J36" s="430"/>
      <c r="K36" s="430"/>
      <c r="L36" s="446"/>
    </row>
    <row r="37" spans="1:12">
      <c r="A37" s="470" t="s">
        <v>301</v>
      </c>
      <c r="B37" s="471"/>
      <c r="C37" s="430"/>
      <c r="D37" s="430"/>
      <c r="E37" s="430"/>
      <c r="F37" s="430"/>
      <c r="G37" s="430"/>
      <c r="H37" s="430"/>
      <c r="I37" s="430"/>
      <c r="J37" s="430"/>
      <c r="K37" s="430"/>
      <c r="L37" s="446"/>
    </row>
    <row r="38" spans="1:12">
      <c r="A38" s="470" t="s">
        <v>302</v>
      </c>
      <c r="B38" s="471"/>
      <c r="C38" s="430"/>
      <c r="D38" s="430"/>
      <c r="E38" s="430"/>
      <c r="F38" s="430"/>
      <c r="G38" s="430"/>
      <c r="H38" s="430"/>
      <c r="I38" s="430"/>
      <c r="J38" s="430"/>
      <c r="K38" s="430"/>
      <c r="L38" s="446"/>
    </row>
    <row r="39" spans="1:12">
      <c r="A39" s="470" t="s">
        <v>303</v>
      </c>
      <c r="B39" s="471"/>
      <c r="C39" s="430"/>
      <c r="D39" s="430"/>
      <c r="E39" s="430"/>
      <c r="F39" s="430"/>
      <c r="G39" s="430"/>
      <c r="H39" s="430"/>
      <c r="I39" s="430"/>
      <c r="J39" s="430"/>
      <c r="K39" s="430"/>
      <c r="L39" s="446"/>
    </row>
    <row r="40" spans="1:12">
      <c r="A40" s="470" t="s">
        <v>307</v>
      </c>
      <c r="B40" s="471"/>
      <c r="C40" s="430"/>
      <c r="D40" s="430"/>
      <c r="E40" s="430"/>
      <c r="F40" s="430"/>
      <c r="G40" s="430"/>
      <c r="H40" s="430"/>
      <c r="I40" s="430"/>
      <c r="J40" s="430"/>
      <c r="K40" s="430"/>
      <c r="L40" s="446"/>
    </row>
    <row r="41" spans="1:12">
      <c r="A41" s="470" t="s">
        <v>308</v>
      </c>
      <c r="B41" s="471"/>
      <c r="C41" s="430"/>
      <c r="D41" s="430"/>
      <c r="E41" s="430"/>
      <c r="F41" s="430"/>
      <c r="G41" s="430"/>
      <c r="H41" s="430"/>
      <c r="I41" s="430"/>
      <c r="J41" s="430"/>
      <c r="K41" s="430"/>
      <c r="L41" s="446"/>
    </row>
    <row r="42" spans="1:12">
      <c r="A42" s="470" t="s">
        <v>464</v>
      </c>
      <c r="B42" s="471"/>
      <c r="C42" s="430"/>
      <c r="D42" s="430"/>
      <c r="E42" s="430"/>
      <c r="F42" s="430"/>
      <c r="G42" s="430"/>
      <c r="H42" s="430"/>
      <c r="I42" s="430"/>
      <c r="J42" s="430"/>
      <c r="K42" s="430"/>
      <c r="L42" s="446"/>
    </row>
    <row r="43" spans="1:12" ht="30">
      <c r="A43" s="470" t="s">
        <v>465</v>
      </c>
      <c r="B43" s="471"/>
      <c r="C43" s="430"/>
      <c r="D43" s="430"/>
      <c r="E43" s="430"/>
      <c r="F43" s="430"/>
      <c r="G43" s="430"/>
      <c r="H43" s="430"/>
      <c r="I43" s="430"/>
      <c r="J43" s="430"/>
      <c r="K43" s="430"/>
      <c r="L43" s="446"/>
    </row>
    <row r="44" spans="1:12">
      <c r="A44" s="470" t="s">
        <v>466</v>
      </c>
      <c r="B44" s="471"/>
      <c r="C44" s="430"/>
      <c r="D44" s="430"/>
      <c r="E44" s="430"/>
      <c r="F44" s="430"/>
      <c r="G44" s="430"/>
      <c r="H44" s="430"/>
      <c r="I44" s="430"/>
      <c r="J44" s="430"/>
      <c r="K44" s="430"/>
      <c r="L44" s="446"/>
    </row>
    <row r="45" spans="1:12">
      <c r="A45" s="470" t="s">
        <v>467</v>
      </c>
      <c r="B45" s="471"/>
      <c r="C45" s="430"/>
      <c r="D45" s="430"/>
      <c r="E45" s="430"/>
      <c r="F45" s="430"/>
      <c r="G45" s="430"/>
      <c r="H45" s="430"/>
      <c r="I45" s="430"/>
      <c r="J45" s="430"/>
      <c r="K45" s="430"/>
      <c r="L45" s="446"/>
    </row>
    <row r="46" spans="1:12" ht="15.75" thickBot="1">
      <c r="A46" s="472"/>
      <c r="B46" s="473"/>
      <c r="C46" s="429"/>
      <c r="D46" s="429"/>
      <c r="E46" s="429"/>
      <c r="F46" s="429"/>
      <c r="G46" s="429"/>
      <c r="H46" s="429"/>
      <c r="I46" s="429"/>
      <c r="J46" s="429"/>
      <c r="K46" s="429"/>
      <c r="L46" s="447"/>
    </row>
    <row r="47" spans="1:12">
      <c r="A47" s="788"/>
      <c r="B47" s="788"/>
      <c r="C47" s="788"/>
      <c r="D47" s="788"/>
      <c r="E47" s="788"/>
      <c r="F47" s="788"/>
      <c r="G47" s="788"/>
      <c r="H47" s="788"/>
      <c r="I47" s="788"/>
      <c r="J47" s="788"/>
      <c r="K47" s="788"/>
      <c r="L47" s="788"/>
    </row>
  </sheetData>
  <sheetProtection password="DA39" sheet="1" objects="1" scenarios="1" selectLockedCells="1"/>
  <mergeCells count="14">
    <mergeCell ref="A2:J2"/>
    <mergeCell ref="A18:B18"/>
    <mergeCell ref="A19:B19"/>
    <mergeCell ref="A20:B20"/>
    <mergeCell ref="A33:B33"/>
    <mergeCell ref="A23:C23"/>
    <mergeCell ref="A32:C32"/>
    <mergeCell ref="A47:L47"/>
    <mergeCell ref="A4:C4"/>
    <mergeCell ref="A22:D22"/>
    <mergeCell ref="A15:B15"/>
    <mergeCell ref="A17:C17"/>
    <mergeCell ref="L5:N5"/>
    <mergeCell ref="B5:K5"/>
  </mergeCells>
  <pageMargins left="0.25" right="0.25" top="0.75" bottom="0.75" header="0.3" footer="0.3"/>
  <pageSetup scale="69" fitToHeight="2" orientation="landscape" r:id="rId1"/>
  <headerFooter>
    <oddFooter>&amp;L&amp;F&amp;C&amp;P of &amp;N&amp;R&amp;A</oddFooter>
  </headerFooter>
  <rowBreaks count="1" manualBreakCount="1">
    <brk id="21" max="16383" man="1"/>
  </rowBreaks>
</worksheet>
</file>

<file path=xl/worksheets/sheet5.xml><?xml version="1.0" encoding="utf-8"?>
<worksheet xmlns="http://schemas.openxmlformats.org/spreadsheetml/2006/main" xmlns:r="http://schemas.openxmlformats.org/officeDocument/2006/relationships">
  <sheetPr>
    <pageSetUpPr fitToPage="1"/>
  </sheetPr>
  <dimension ref="A1:M39"/>
  <sheetViews>
    <sheetView showGridLines="0" workbookViewId="0">
      <selection activeCell="D11" sqref="D11"/>
    </sheetView>
  </sheetViews>
  <sheetFormatPr defaultRowHeight="12.75"/>
  <cols>
    <col min="1" max="1" width="42.7109375" style="357" bestFit="1" customWidth="1"/>
    <col min="2" max="2" width="9.140625" style="357"/>
    <col min="3" max="3" width="20.7109375" style="357" customWidth="1"/>
    <col min="4" max="4" width="10.85546875" style="357" customWidth="1"/>
    <col min="5" max="5" width="9.85546875" style="357" customWidth="1"/>
    <col min="6" max="6" width="9.28515625" style="357" customWidth="1"/>
    <col min="7" max="9" width="9.140625" style="357"/>
    <col min="10" max="10" width="9.28515625" style="357" customWidth="1"/>
    <col min="11" max="16384" width="9.140625" style="357"/>
  </cols>
  <sheetData>
    <row r="1" spans="1:13" ht="29.25" customHeight="1">
      <c r="A1" s="806" t="s">
        <v>522</v>
      </c>
      <c r="B1" s="806"/>
      <c r="C1" s="806"/>
      <c r="D1" s="806"/>
      <c r="E1" s="806"/>
      <c r="F1" s="806"/>
      <c r="G1" s="806"/>
      <c r="H1" s="806"/>
      <c r="I1" s="806"/>
      <c r="J1" s="806"/>
      <c r="K1" s="806"/>
      <c r="L1" s="806"/>
      <c r="M1" s="806"/>
    </row>
    <row r="3" spans="1:13" ht="25.5">
      <c r="A3" s="580" t="s">
        <v>462</v>
      </c>
      <c r="B3" s="580" t="s">
        <v>523</v>
      </c>
      <c r="C3" s="581" t="s">
        <v>524</v>
      </c>
      <c r="D3" s="905" t="s">
        <v>638</v>
      </c>
      <c r="E3" s="582" t="s">
        <v>606</v>
      </c>
      <c r="F3" s="582" t="s">
        <v>633</v>
      </c>
      <c r="G3" s="582" t="s">
        <v>608</v>
      </c>
      <c r="H3" s="582" t="s">
        <v>605</v>
      </c>
      <c r="I3" s="582" t="s">
        <v>634</v>
      </c>
      <c r="J3" s="582" t="s">
        <v>637</v>
      </c>
      <c r="K3" s="582" t="s">
        <v>635</v>
      </c>
      <c r="L3" s="582" t="s">
        <v>636</v>
      </c>
      <c r="M3" s="583" t="s">
        <v>42</v>
      </c>
    </row>
    <row r="4" spans="1:13" ht="25.5">
      <c r="A4" s="584" t="s">
        <v>525</v>
      </c>
      <c r="B4" s="585">
        <f>'7'!D35</f>
        <v>0</v>
      </c>
      <c r="C4" s="585">
        <f>Table12[[#This Row],[Actual]]</f>
        <v>0</v>
      </c>
      <c r="D4" s="585">
        <f>'Area&amp;Cost'!E62+'Area&amp;Cost'!E63+'Area&amp;Cost'!E64+'Area&amp;Cost'!E65</f>
        <v>0</v>
      </c>
      <c r="E4" s="585">
        <f>'Area&amp;Cost'!F62+'Area&amp;Cost'!F63+'Area&amp;Cost'!F64+'Area&amp;Cost'!F65</f>
        <v>0</v>
      </c>
      <c r="F4" s="585">
        <f>'Area&amp;Cost'!G62+'Area&amp;Cost'!G63+'Area&amp;Cost'!G64+'Area&amp;Cost'!G65</f>
        <v>0</v>
      </c>
      <c r="G4" s="585">
        <f>'Area&amp;Cost'!H62+'Area&amp;Cost'!H63+'Area&amp;Cost'!H64+'Area&amp;Cost'!H65</f>
        <v>0</v>
      </c>
      <c r="H4" s="585">
        <f>'Area&amp;Cost'!I62+'Area&amp;Cost'!I63+'Area&amp;Cost'!I64+'Area&amp;Cost'!I65</f>
        <v>0</v>
      </c>
      <c r="I4" s="585">
        <f>'Area&amp;Cost'!J62+'Area&amp;Cost'!J63+'Area&amp;Cost'!J64+'Area&amp;Cost'!J65</f>
        <v>0</v>
      </c>
      <c r="J4" s="585">
        <f>'Area&amp;Cost'!K62+'Area&amp;Cost'!K63+'Area&amp;Cost'!K64+'Area&amp;Cost'!K65</f>
        <v>0</v>
      </c>
      <c r="K4" s="585">
        <f>'Area&amp;Cost'!L62+'Area&amp;Cost'!L63+'Area&amp;Cost'!L64+'Area&amp;Cost'!L65</f>
        <v>0</v>
      </c>
      <c r="L4" s="585">
        <f>'Area&amp;Cost'!M62+'Area&amp;Cost'!M63+'Area&amp;Cost'!M64+'Area&amp;Cost'!M65</f>
        <v>0</v>
      </c>
      <c r="M4" s="586">
        <f t="shared" ref="M4:M9" si="0">SUM(D4:L4)</f>
        <v>0</v>
      </c>
    </row>
    <row r="5" spans="1:13">
      <c r="A5" s="584" t="s">
        <v>137</v>
      </c>
      <c r="B5" s="585">
        <f>'6'!C32</f>
        <v>0</v>
      </c>
      <c r="C5" s="585">
        <f>'6'!E32</f>
        <v>0</v>
      </c>
      <c r="D5" s="585">
        <f>'6'!F32</f>
        <v>0</v>
      </c>
      <c r="E5" s="585">
        <f>'6'!G32</f>
        <v>0</v>
      </c>
      <c r="F5" s="585">
        <f>'6'!H32</f>
        <v>0</v>
      </c>
      <c r="G5" s="585">
        <f>'6'!I32</f>
        <v>0</v>
      </c>
      <c r="H5" s="585">
        <f>'6'!J32</f>
        <v>0</v>
      </c>
      <c r="I5" s="585">
        <f>'6'!K32</f>
        <v>0</v>
      </c>
      <c r="J5" s="585">
        <f>'6'!L32</f>
        <v>0</v>
      </c>
      <c r="K5" s="585">
        <f>'6'!M32</f>
        <v>0</v>
      </c>
      <c r="L5" s="585">
        <f>'6'!N32</f>
        <v>0</v>
      </c>
      <c r="M5" s="586">
        <f t="shared" si="0"/>
        <v>0</v>
      </c>
    </row>
    <row r="6" spans="1:13">
      <c r="A6" s="584" t="s">
        <v>149</v>
      </c>
      <c r="B6" s="585">
        <f>'6'!C34</f>
        <v>0</v>
      </c>
      <c r="C6" s="585">
        <f>Table12[[#This Row],[Actual]]</f>
        <v>0</v>
      </c>
      <c r="D6" s="585">
        <f>'6'!F34</f>
        <v>0</v>
      </c>
      <c r="E6" s="585">
        <f>'6'!G34</f>
        <v>0</v>
      </c>
      <c r="F6" s="585">
        <f>'6'!H34</f>
        <v>0</v>
      </c>
      <c r="G6" s="585">
        <f>'6'!I34</f>
        <v>0</v>
      </c>
      <c r="H6" s="585">
        <f>'6'!J34</f>
        <v>0</v>
      </c>
      <c r="I6" s="585">
        <f>'6'!K34</f>
        <v>0</v>
      </c>
      <c r="J6" s="585">
        <f>'6'!L34</f>
        <v>0</v>
      </c>
      <c r="K6" s="585">
        <f>'6'!M34</f>
        <v>0</v>
      </c>
      <c r="L6" s="585">
        <f>'6'!N34</f>
        <v>0</v>
      </c>
      <c r="M6" s="586">
        <f t="shared" si="0"/>
        <v>0</v>
      </c>
    </row>
    <row r="7" spans="1:13" ht="25.5">
      <c r="A7" s="587" t="s">
        <v>526</v>
      </c>
      <c r="B7" s="586">
        <f>SUM(B4:B6)</f>
        <v>0</v>
      </c>
      <c r="C7" s="586">
        <f t="shared" ref="C7:L7" si="1">SUM(C4:C6)</f>
        <v>0</v>
      </c>
      <c r="D7" s="586">
        <f t="shared" si="1"/>
        <v>0</v>
      </c>
      <c r="E7" s="586">
        <f t="shared" si="1"/>
        <v>0</v>
      </c>
      <c r="F7" s="586">
        <f t="shared" si="1"/>
        <v>0</v>
      </c>
      <c r="G7" s="586">
        <f t="shared" si="1"/>
        <v>0</v>
      </c>
      <c r="H7" s="586">
        <f t="shared" si="1"/>
        <v>0</v>
      </c>
      <c r="I7" s="586">
        <f t="shared" si="1"/>
        <v>0</v>
      </c>
      <c r="J7" s="586">
        <f t="shared" si="1"/>
        <v>0</v>
      </c>
      <c r="K7" s="586">
        <f t="shared" si="1"/>
        <v>0</v>
      </c>
      <c r="L7" s="586">
        <f t="shared" si="1"/>
        <v>0</v>
      </c>
      <c r="M7" s="586">
        <f t="shared" si="0"/>
        <v>0</v>
      </c>
    </row>
    <row r="8" spans="1:13" ht="38.25">
      <c r="A8" s="584" t="s">
        <v>527</v>
      </c>
      <c r="B8" s="586">
        <f>Table12[[#This Row],[After Escalation]]</f>
        <v>0</v>
      </c>
      <c r="C8" s="586">
        <f>SUBTOTAL(109,Table12[[#This Row],[Year of inception]:[Mar5]])</f>
        <v>0</v>
      </c>
      <c r="D8" s="586">
        <f>C15+(0.12*((D7-D12)/0.88))/1+(0.0105*((D7-D12)/0.9895))</f>
        <v>0</v>
      </c>
      <c r="E8" s="586">
        <f t="shared" ref="E8:J8" si="2">D15+(0.12*(E7/1.88))/4+(0.0105*(E7/1.9895))</f>
        <v>0</v>
      </c>
      <c r="F8" s="586">
        <f t="shared" si="2"/>
        <v>0</v>
      </c>
      <c r="G8" s="586">
        <f t="shared" si="2"/>
        <v>0</v>
      </c>
      <c r="H8" s="586">
        <f t="shared" si="2"/>
        <v>0</v>
      </c>
      <c r="I8" s="586">
        <f t="shared" si="2"/>
        <v>0</v>
      </c>
      <c r="J8" s="586">
        <f t="shared" si="2"/>
        <v>0</v>
      </c>
      <c r="K8" s="586">
        <f>J15+(0.12*((K7-K12)/0.88))/4+(0.0105*((K7-K12)/0.9895))</f>
        <v>0</v>
      </c>
      <c r="L8" s="586">
        <f>K15+(0.12*((L7-L12)/0.88))/4+(0.0105*((L7-L12)/0.9895))</f>
        <v>0</v>
      </c>
      <c r="M8" s="586">
        <f t="shared" si="0"/>
        <v>0</v>
      </c>
    </row>
    <row r="9" spans="1:13">
      <c r="A9" s="587" t="s">
        <v>304</v>
      </c>
      <c r="B9" s="586">
        <f t="shared" ref="B9:K9" si="3">SUM(B7:B8)</f>
        <v>0</v>
      </c>
      <c r="C9" s="586">
        <f>SUM(C7:C8)+1</f>
        <v>1</v>
      </c>
      <c r="D9" s="586">
        <f t="shared" si="3"/>
        <v>0</v>
      </c>
      <c r="E9" s="586">
        <f t="shared" si="3"/>
        <v>0</v>
      </c>
      <c r="F9" s="586">
        <f t="shared" si="3"/>
        <v>0</v>
      </c>
      <c r="G9" s="586">
        <f t="shared" si="3"/>
        <v>0</v>
      </c>
      <c r="H9" s="586">
        <f t="shared" si="3"/>
        <v>0</v>
      </c>
      <c r="I9" s="586">
        <f t="shared" si="3"/>
        <v>0</v>
      </c>
      <c r="J9" s="586">
        <f t="shared" si="3"/>
        <v>0</v>
      </c>
      <c r="K9" s="586">
        <f t="shared" si="3"/>
        <v>0</v>
      </c>
      <c r="L9" s="586">
        <f>SUM(L7:L8)+1</f>
        <v>1</v>
      </c>
      <c r="M9" s="586">
        <f t="shared" si="0"/>
        <v>1</v>
      </c>
    </row>
    <row r="10" spans="1:13">
      <c r="A10" s="584"/>
      <c r="B10" s="585"/>
      <c r="C10" s="585"/>
      <c r="D10" s="585"/>
      <c r="E10" s="585"/>
      <c r="F10" s="585"/>
      <c r="G10" s="585"/>
      <c r="H10" s="585"/>
      <c r="I10" s="585"/>
      <c r="J10" s="585"/>
      <c r="K10" s="585"/>
      <c r="L10" s="585"/>
      <c r="M10" s="586"/>
    </row>
    <row r="11" spans="1:13">
      <c r="A11" s="584" t="s">
        <v>29</v>
      </c>
      <c r="B11" s="585"/>
      <c r="C11" s="585"/>
      <c r="D11" s="761"/>
      <c r="E11" s="761"/>
      <c r="F11" s="761"/>
      <c r="G11" s="761"/>
      <c r="H11" s="761"/>
      <c r="I11" s="761"/>
      <c r="J11" s="761"/>
      <c r="K11" s="761"/>
      <c r="L11" s="761"/>
      <c r="M11" s="586">
        <f>SUM(B11:L11)</f>
        <v>0</v>
      </c>
    </row>
    <row r="12" spans="1:13">
      <c r="A12" s="584" t="s">
        <v>115</v>
      </c>
      <c r="B12" s="585"/>
      <c r="C12" s="585"/>
      <c r="D12" s="761"/>
      <c r="E12" s="761"/>
      <c r="F12" s="761"/>
      <c r="G12" s="761"/>
      <c r="H12" s="761"/>
      <c r="I12" s="761"/>
      <c r="J12" s="761"/>
      <c r="K12" s="761"/>
      <c r="L12" s="761"/>
      <c r="M12" s="586">
        <f>SUM(B12:L12)</f>
        <v>0</v>
      </c>
    </row>
    <row r="13" spans="1:13">
      <c r="A13" s="587" t="s">
        <v>116</v>
      </c>
      <c r="B13" s="586">
        <f>SUM(B11:B12)</f>
        <v>0</v>
      </c>
      <c r="C13" s="586">
        <f t="shared" ref="C13:L13" si="4">SUM(C11:C12)</f>
        <v>0</v>
      </c>
      <c r="D13" s="586">
        <f t="shared" si="4"/>
        <v>0</v>
      </c>
      <c r="E13" s="586">
        <f t="shared" si="4"/>
        <v>0</v>
      </c>
      <c r="F13" s="586">
        <f t="shared" si="4"/>
        <v>0</v>
      </c>
      <c r="G13" s="586">
        <f t="shared" si="4"/>
        <v>0</v>
      </c>
      <c r="H13" s="586">
        <f t="shared" si="4"/>
        <v>0</v>
      </c>
      <c r="I13" s="586">
        <f t="shared" si="4"/>
        <v>0</v>
      </c>
      <c r="J13" s="586">
        <f t="shared" si="4"/>
        <v>0</v>
      </c>
      <c r="K13" s="586">
        <f t="shared" si="4"/>
        <v>0</v>
      </c>
      <c r="L13" s="586">
        <f t="shared" si="4"/>
        <v>0</v>
      </c>
      <c r="M13" s="586">
        <f>SUM(B13:L13)</f>
        <v>0</v>
      </c>
    </row>
    <row r="14" spans="1:13">
      <c r="A14" s="584" t="s">
        <v>528</v>
      </c>
      <c r="C14" s="585"/>
      <c r="D14" s="588">
        <f>D11</f>
        <v>0</v>
      </c>
      <c r="E14" s="588">
        <f t="shared" ref="E14:L14" si="5">E11+D14</f>
        <v>0</v>
      </c>
      <c r="F14" s="588">
        <f t="shared" si="5"/>
        <v>0</v>
      </c>
      <c r="G14" s="588">
        <f t="shared" si="5"/>
        <v>0</v>
      </c>
      <c r="H14" s="588">
        <f t="shared" si="5"/>
        <v>0</v>
      </c>
      <c r="I14" s="588">
        <f t="shared" si="5"/>
        <v>0</v>
      </c>
      <c r="J14" s="588">
        <f t="shared" si="5"/>
        <v>0</v>
      </c>
      <c r="K14" s="588">
        <f t="shared" si="5"/>
        <v>0</v>
      </c>
      <c r="L14" s="588">
        <f t="shared" si="5"/>
        <v>0</v>
      </c>
      <c r="M14" s="585"/>
    </row>
    <row r="15" spans="1:13">
      <c r="A15" s="584" t="s">
        <v>529</v>
      </c>
      <c r="C15" s="585"/>
      <c r="D15" s="588">
        <f t="shared" ref="D15:K15" si="6">D14*0.03</f>
        <v>0</v>
      </c>
      <c r="E15" s="588">
        <f t="shared" si="6"/>
        <v>0</v>
      </c>
      <c r="F15" s="588">
        <f t="shared" si="6"/>
        <v>0</v>
      </c>
      <c r="G15" s="588">
        <f t="shared" si="6"/>
        <v>0</v>
      </c>
      <c r="H15" s="588">
        <f t="shared" si="6"/>
        <v>0</v>
      </c>
      <c r="I15" s="588">
        <f t="shared" si="6"/>
        <v>0</v>
      </c>
      <c r="J15" s="588">
        <f t="shared" si="6"/>
        <v>0</v>
      </c>
      <c r="K15" s="588">
        <f t="shared" si="6"/>
        <v>0</v>
      </c>
      <c r="L15" s="586"/>
      <c r="M15" s="585"/>
    </row>
    <row r="16" spans="1:13">
      <c r="A16" s="584"/>
      <c r="C16" s="585"/>
      <c r="D16" s="585"/>
      <c r="E16" s="585"/>
      <c r="F16" s="585"/>
      <c r="G16" s="585"/>
      <c r="H16" s="585"/>
      <c r="I16" s="585"/>
      <c r="J16" s="585"/>
      <c r="K16" s="585"/>
      <c r="L16" s="585"/>
      <c r="M16" s="585"/>
    </row>
    <row r="17" spans="1:13" ht="13.5" thickBot="1">
      <c r="A17" s="738"/>
      <c r="B17" s="603"/>
      <c r="C17" s="904"/>
      <c r="D17" s="904"/>
      <c r="E17" s="904"/>
      <c r="F17" s="904"/>
      <c r="G17" s="904"/>
      <c r="H17" s="904"/>
      <c r="I17" s="904"/>
      <c r="J17" s="904"/>
      <c r="K17" s="904"/>
      <c r="L17" s="904"/>
      <c r="M17" s="904">
        <f>(M11-M12)/2</f>
        <v>0</v>
      </c>
    </row>
    <row r="18" spans="1:13">
      <c r="A18" s="589" t="s">
        <v>530</v>
      </c>
      <c r="B18" s="590"/>
      <c r="C18" s="590"/>
      <c r="D18" s="590"/>
      <c r="E18" s="591"/>
    </row>
    <row r="19" spans="1:13">
      <c r="A19" s="592"/>
      <c r="B19" s="593"/>
      <c r="C19" s="593"/>
      <c r="D19" s="593"/>
      <c r="E19" s="594"/>
    </row>
    <row r="20" spans="1:13">
      <c r="A20" s="592" t="s">
        <v>531</v>
      </c>
      <c r="B20" s="593" t="s">
        <v>532</v>
      </c>
      <c r="C20" s="593" t="s">
        <v>533</v>
      </c>
      <c r="D20" s="593" t="s">
        <v>532</v>
      </c>
      <c r="E20" s="594" t="s">
        <v>534</v>
      </c>
    </row>
    <row r="21" spans="1:13">
      <c r="A21" s="592" t="s">
        <v>29</v>
      </c>
      <c r="B21" s="593" t="s">
        <v>532</v>
      </c>
      <c r="C21" s="593" t="s">
        <v>535</v>
      </c>
      <c r="D21" s="593"/>
      <c r="E21" s="594"/>
    </row>
    <row r="22" spans="1:13">
      <c r="A22" s="592" t="s">
        <v>115</v>
      </c>
      <c r="B22" s="593" t="s">
        <v>532</v>
      </c>
      <c r="C22" s="593" t="s">
        <v>535</v>
      </c>
      <c r="D22" s="593" t="s">
        <v>536</v>
      </c>
      <c r="E22" s="595">
        <v>2100</v>
      </c>
    </row>
    <row r="23" spans="1:13">
      <c r="A23" s="592" t="s">
        <v>148</v>
      </c>
      <c r="B23" s="593" t="s">
        <v>532</v>
      </c>
      <c r="C23" s="593" t="s">
        <v>537</v>
      </c>
      <c r="D23" s="593" t="s">
        <v>536</v>
      </c>
      <c r="E23" s="594" t="s">
        <v>538</v>
      </c>
    </row>
    <row r="24" spans="1:13">
      <c r="A24" s="592" t="s">
        <v>539</v>
      </c>
      <c r="B24" s="593" t="s">
        <v>532</v>
      </c>
      <c r="C24" s="593" t="s">
        <v>540</v>
      </c>
      <c r="D24" s="593"/>
      <c r="E24" s="594"/>
    </row>
    <row r="25" spans="1:13">
      <c r="A25" s="592" t="s">
        <v>541</v>
      </c>
      <c r="B25" s="593" t="s">
        <v>532</v>
      </c>
      <c r="C25" s="593" t="s">
        <v>537</v>
      </c>
      <c r="D25" s="593"/>
      <c r="E25" s="594"/>
    </row>
    <row r="26" spans="1:13">
      <c r="A26" s="592" t="s">
        <v>304</v>
      </c>
      <c r="B26" s="593" t="s">
        <v>532</v>
      </c>
      <c r="C26" s="593" t="s">
        <v>542</v>
      </c>
      <c r="D26" s="593"/>
      <c r="E26" s="594"/>
    </row>
    <row r="27" spans="1:13">
      <c r="A27" s="592" t="s">
        <v>535</v>
      </c>
      <c r="B27" s="593" t="s">
        <v>532</v>
      </c>
      <c r="C27" s="593" t="s">
        <v>543</v>
      </c>
      <c r="D27" s="593"/>
      <c r="E27" s="594"/>
    </row>
    <row r="28" spans="1:13">
      <c r="A28" s="592" t="s">
        <v>29</v>
      </c>
      <c r="B28" s="593" t="s">
        <v>532</v>
      </c>
      <c r="C28" s="593" t="s">
        <v>543</v>
      </c>
      <c r="D28" s="593"/>
      <c r="E28" s="594"/>
    </row>
    <row r="29" spans="1:13" ht="13.5" thickBot="1">
      <c r="A29" s="596" t="s">
        <v>544</v>
      </c>
      <c r="B29" s="597" t="s">
        <v>532</v>
      </c>
      <c r="C29" s="597" t="s">
        <v>545</v>
      </c>
      <c r="D29" s="597"/>
      <c r="E29" s="598"/>
    </row>
    <row r="30" spans="1:13">
      <c r="A30" s="592" t="s">
        <v>546</v>
      </c>
      <c r="B30" s="593" t="s">
        <v>532</v>
      </c>
      <c r="C30" s="593" t="s">
        <v>533</v>
      </c>
      <c r="D30" s="593" t="s">
        <v>532</v>
      </c>
      <c r="E30" s="594" t="s">
        <v>547</v>
      </c>
    </row>
    <row r="31" spans="1:13">
      <c r="A31" s="592" t="s">
        <v>29</v>
      </c>
      <c r="B31" s="593" t="s">
        <v>532</v>
      </c>
      <c r="C31" s="593" t="s">
        <v>535</v>
      </c>
      <c r="D31" s="593"/>
      <c r="E31" s="594"/>
    </row>
    <row r="32" spans="1:13">
      <c r="A32" s="592" t="s">
        <v>115</v>
      </c>
      <c r="B32" s="593" t="s">
        <v>532</v>
      </c>
      <c r="C32" s="593" t="s">
        <v>535</v>
      </c>
      <c r="D32" s="593" t="s">
        <v>536</v>
      </c>
      <c r="E32" s="595">
        <v>2100</v>
      </c>
    </row>
    <row r="33" spans="1:5">
      <c r="A33" s="592" t="s">
        <v>148</v>
      </c>
      <c r="B33" s="593" t="s">
        <v>532</v>
      </c>
      <c r="C33" s="593" t="s">
        <v>537</v>
      </c>
      <c r="D33" s="593" t="s">
        <v>536</v>
      </c>
      <c r="E33" s="594" t="s">
        <v>538</v>
      </c>
    </row>
    <row r="34" spans="1:5">
      <c r="A34" s="592" t="s">
        <v>548</v>
      </c>
      <c r="B34" s="593" t="s">
        <v>532</v>
      </c>
      <c r="C34" s="593" t="s">
        <v>540</v>
      </c>
      <c r="D34" s="593"/>
      <c r="E34" s="594"/>
    </row>
    <row r="35" spans="1:5">
      <c r="A35" s="592" t="s">
        <v>549</v>
      </c>
      <c r="B35" s="593" t="s">
        <v>532</v>
      </c>
      <c r="C35" s="593" t="s">
        <v>537</v>
      </c>
      <c r="D35" s="593"/>
      <c r="E35" s="594"/>
    </row>
    <row r="36" spans="1:5">
      <c r="A36" s="592" t="s">
        <v>304</v>
      </c>
      <c r="B36" s="593" t="s">
        <v>532</v>
      </c>
      <c r="C36" s="593" t="s">
        <v>550</v>
      </c>
      <c r="D36" s="593"/>
      <c r="E36" s="594"/>
    </row>
    <row r="37" spans="1:5">
      <c r="A37" s="592" t="s">
        <v>535</v>
      </c>
      <c r="B37" s="593" t="s">
        <v>532</v>
      </c>
      <c r="C37" s="593" t="s">
        <v>551</v>
      </c>
      <c r="D37" s="593"/>
      <c r="E37" s="594"/>
    </row>
    <row r="38" spans="1:5">
      <c r="A38" s="592" t="s">
        <v>29</v>
      </c>
      <c r="B38" s="593" t="s">
        <v>532</v>
      </c>
      <c r="C38" s="593" t="s">
        <v>551</v>
      </c>
      <c r="D38" s="593"/>
      <c r="E38" s="594"/>
    </row>
    <row r="39" spans="1:5" ht="13.5" thickBot="1">
      <c r="A39" s="596" t="s">
        <v>546</v>
      </c>
      <c r="B39" s="597" t="s">
        <v>532</v>
      </c>
      <c r="C39" s="597" t="s">
        <v>552</v>
      </c>
      <c r="D39" s="597"/>
      <c r="E39" s="598"/>
    </row>
  </sheetData>
  <sheetProtection password="DA39" sheet="1" objects="1" scenarios="1" selectLockedCells="1"/>
  <mergeCells count="1">
    <mergeCell ref="A1:M1"/>
  </mergeCells>
  <printOptions horizontalCentered="1"/>
  <pageMargins left="0.25" right="0.25" top="0.75" bottom="0.75" header="0.3" footer="0.3"/>
  <pageSetup scale="82" orientation="landscape" r:id="rId1"/>
  <headerFooter>
    <oddFooter>&amp;L&amp;F&amp;C&amp;P of &amp;N&amp;R&amp;A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sheetPr>
    <pageSetUpPr fitToPage="1"/>
  </sheetPr>
  <dimension ref="A1:X14"/>
  <sheetViews>
    <sheetView workbookViewId="0">
      <selection activeCell="C5" sqref="C5"/>
    </sheetView>
  </sheetViews>
  <sheetFormatPr defaultRowHeight="12.75"/>
  <cols>
    <col min="1" max="1" width="4.5703125" style="357" customWidth="1"/>
    <col min="2" max="2" width="13.140625" style="584" customWidth="1"/>
    <col min="3" max="3" width="7.42578125" style="357" customWidth="1"/>
    <col min="4" max="23" width="6.5703125" style="585" customWidth="1"/>
    <col min="24" max="24" width="7" style="585" customWidth="1"/>
    <col min="25" max="16384" width="9.140625" style="357"/>
  </cols>
  <sheetData>
    <row r="1" spans="1:24">
      <c r="A1" s="848" t="s">
        <v>553</v>
      </c>
      <c r="B1" s="849"/>
      <c r="C1" s="849"/>
      <c r="D1" s="849"/>
      <c r="E1" s="849"/>
      <c r="F1" s="849"/>
      <c r="G1" s="849"/>
      <c r="H1" s="849"/>
      <c r="I1" s="849"/>
      <c r="J1" s="849"/>
      <c r="K1" s="849"/>
      <c r="L1" s="849"/>
      <c r="M1" s="849"/>
      <c r="N1" s="849"/>
      <c r="O1" s="849"/>
      <c r="P1" s="849"/>
      <c r="Q1" s="849"/>
      <c r="R1" s="849"/>
      <c r="S1" s="849"/>
      <c r="T1" s="849"/>
      <c r="U1" s="849"/>
      <c r="V1" s="849"/>
      <c r="W1" s="849"/>
      <c r="X1" s="850"/>
    </row>
    <row r="2" spans="1:24" ht="13.5" thickBot="1">
      <c r="A2" s="851"/>
      <c r="B2" s="852"/>
      <c r="C2" s="852"/>
      <c r="D2" s="852"/>
      <c r="E2" s="852"/>
      <c r="F2" s="852"/>
      <c r="G2" s="852"/>
      <c r="H2" s="852"/>
      <c r="I2" s="852"/>
      <c r="J2" s="852"/>
      <c r="K2" s="852"/>
      <c r="L2" s="852"/>
      <c r="M2" s="852"/>
      <c r="N2" s="852"/>
      <c r="O2" s="852"/>
      <c r="P2" s="852"/>
      <c r="Q2" s="852"/>
      <c r="R2" s="852"/>
      <c r="S2" s="852"/>
      <c r="T2" s="852"/>
      <c r="U2" s="852"/>
      <c r="V2" s="852"/>
      <c r="W2" s="852"/>
      <c r="X2" s="853"/>
    </row>
    <row r="3" spans="1:24">
      <c r="A3" s="906" t="s">
        <v>554</v>
      </c>
      <c r="B3" s="907" t="s">
        <v>0</v>
      </c>
      <c r="C3" s="908" t="s">
        <v>555</v>
      </c>
      <c r="D3" s="909">
        <f>'1'!B21</f>
        <v>0</v>
      </c>
      <c r="E3" s="910"/>
      <c r="F3" s="911"/>
      <c r="G3" s="909">
        <f>D3+1</f>
        <v>1</v>
      </c>
      <c r="H3" s="911"/>
      <c r="I3" s="909">
        <f>G3+1</f>
        <v>2</v>
      </c>
      <c r="J3" s="911"/>
      <c r="K3" s="909">
        <f>I3+1</f>
        <v>3</v>
      </c>
      <c r="L3" s="911"/>
      <c r="M3" s="909">
        <f>K3+1</f>
        <v>4</v>
      </c>
      <c r="N3" s="911"/>
      <c r="O3" s="909">
        <f>M3+1</f>
        <v>5</v>
      </c>
      <c r="P3" s="911"/>
      <c r="Q3" s="909">
        <f>O3+1</f>
        <v>6</v>
      </c>
      <c r="R3" s="911"/>
      <c r="S3" s="909">
        <f>Q3+1</f>
        <v>7</v>
      </c>
      <c r="T3" s="911"/>
      <c r="U3" s="909">
        <f>S3+1</f>
        <v>8</v>
      </c>
      <c r="V3" s="911"/>
      <c r="W3" s="909">
        <f>U3+1</f>
        <v>9</v>
      </c>
      <c r="X3" s="911"/>
    </row>
    <row r="4" spans="1:24" ht="13.5" thickBot="1">
      <c r="A4" s="912"/>
      <c r="B4" s="913"/>
      <c r="C4" s="914"/>
      <c r="D4" s="915" t="s">
        <v>556</v>
      </c>
      <c r="E4" s="915" t="s">
        <v>557</v>
      </c>
      <c r="F4" s="915" t="s">
        <v>558</v>
      </c>
      <c r="G4" s="915" t="s">
        <v>557</v>
      </c>
      <c r="H4" s="915" t="s">
        <v>558</v>
      </c>
      <c r="I4" s="915" t="s">
        <v>557</v>
      </c>
      <c r="J4" s="915" t="s">
        <v>558</v>
      </c>
      <c r="K4" s="915" t="s">
        <v>557</v>
      </c>
      <c r="L4" s="915" t="s">
        <v>558</v>
      </c>
      <c r="M4" s="915" t="s">
        <v>557</v>
      </c>
      <c r="N4" s="915" t="s">
        <v>558</v>
      </c>
      <c r="O4" s="915" t="s">
        <v>557</v>
      </c>
      <c r="P4" s="915" t="s">
        <v>558</v>
      </c>
      <c r="Q4" s="915" t="s">
        <v>557</v>
      </c>
      <c r="R4" s="915" t="s">
        <v>558</v>
      </c>
      <c r="S4" s="915" t="s">
        <v>557</v>
      </c>
      <c r="T4" s="915" t="s">
        <v>558</v>
      </c>
      <c r="U4" s="915" t="s">
        <v>557</v>
      </c>
      <c r="V4" s="915" t="s">
        <v>558</v>
      </c>
      <c r="W4" s="915" t="s">
        <v>557</v>
      </c>
      <c r="X4" s="916" t="s">
        <v>558</v>
      </c>
    </row>
    <row r="5" spans="1:24">
      <c r="A5" s="357">
        <v>1</v>
      </c>
      <c r="B5" s="601" t="s">
        <v>559</v>
      </c>
      <c r="C5" s="917"/>
      <c r="D5" s="253">
        <f>'5'!E10</f>
        <v>0</v>
      </c>
      <c r="E5" s="585">
        <f t="shared" ref="E5:E10" si="0">D5*$C5</f>
        <v>0</v>
      </c>
      <c r="F5" s="585">
        <f t="shared" ref="F5:F10" si="1">D5-E5</f>
        <v>0</v>
      </c>
      <c r="G5" s="585">
        <f t="shared" ref="G5:G10" si="2">F5*$C5</f>
        <v>0</v>
      </c>
      <c r="H5" s="585">
        <f>F5-G5</f>
        <v>0</v>
      </c>
      <c r="I5" s="585">
        <f t="shared" ref="I5:I10" si="3">H5*$C5</f>
        <v>0</v>
      </c>
      <c r="J5" s="585">
        <f>H5-I5</f>
        <v>0</v>
      </c>
      <c r="K5" s="585">
        <f t="shared" ref="K5:K10" si="4">J5*$C5</f>
        <v>0</v>
      </c>
      <c r="L5" s="585">
        <f>J5-K5</f>
        <v>0</v>
      </c>
      <c r="M5" s="585">
        <f t="shared" ref="M5:M10" si="5">L5*$C5</f>
        <v>0</v>
      </c>
      <c r="N5" s="585">
        <f>L5-M5</f>
        <v>0</v>
      </c>
      <c r="O5" s="585">
        <f t="shared" ref="O5:O10" si="6">N5*$C5</f>
        <v>0</v>
      </c>
      <c r="P5" s="585">
        <f>N5-O5</f>
        <v>0</v>
      </c>
      <c r="Q5" s="585">
        <f t="shared" ref="Q5:Q10" si="7">P5*$C5</f>
        <v>0</v>
      </c>
      <c r="R5" s="585">
        <f>P5-Q5</f>
        <v>0</v>
      </c>
      <c r="S5" s="585">
        <f t="shared" ref="S5:S10" si="8">R5*$C5</f>
        <v>0</v>
      </c>
      <c r="T5" s="585">
        <f>R5-S5</f>
        <v>0</v>
      </c>
      <c r="U5" s="585">
        <f t="shared" ref="U5:U10" si="9">T5*$C5</f>
        <v>0</v>
      </c>
      <c r="V5" s="585">
        <f>T5-U5</f>
        <v>0</v>
      </c>
      <c r="W5" s="585">
        <f t="shared" ref="W5:W10" si="10">V5*$C5</f>
        <v>0</v>
      </c>
      <c r="X5" s="585">
        <f t="shared" ref="X5:X10" si="11">V5-W5</f>
        <v>0</v>
      </c>
    </row>
    <row r="6" spans="1:24">
      <c r="A6" s="357">
        <v>2</v>
      </c>
      <c r="B6" s="584" t="s">
        <v>560</v>
      </c>
      <c r="C6" s="917"/>
      <c r="D6" s="253">
        <f>'5'!E19-Deprn!D8-Deprn!D10</f>
        <v>0</v>
      </c>
      <c r="E6" s="585">
        <f t="shared" si="0"/>
        <v>0</v>
      </c>
      <c r="F6" s="585">
        <f t="shared" si="1"/>
        <v>0</v>
      </c>
      <c r="G6" s="585">
        <f t="shared" si="2"/>
        <v>0</v>
      </c>
      <c r="H6" s="585">
        <f t="shared" ref="H6:V6" si="12">F6-G6</f>
        <v>0</v>
      </c>
      <c r="I6" s="585">
        <f t="shared" si="3"/>
        <v>0</v>
      </c>
      <c r="J6" s="585">
        <f t="shared" si="12"/>
        <v>0</v>
      </c>
      <c r="K6" s="585">
        <f t="shared" si="4"/>
        <v>0</v>
      </c>
      <c r="L6" s="585">
        <f t="shared" si="12"/>
        <v>0</v>
      </c>
      <c r="M6" s="585">
        <f t="shared" si="5"/>
        <v>0</v>
      </c>
      <c r="N6" s="585">
        <f t="shared" si="12"/>
        <v>0</v>
      </c>
      <c r="O6" s="585">
        <f t="shared" si="6"/>
        <v>0</v>
      </c>
      <c r="P6" s="585">
        <f t="shared" si="12"/>
        <v>0</v>
      </c>
      <c r="Q6" s="585">
        <f t="shared" si="7"/>
        <v>0</v>
      </c>
      <c r="R6" s="585">
        <f t="shared" si="12"/>
        <v>0</v>
      </c>
      <c r="S6" s="585">
        <f t="shared" si="8"/>
        <v>0</v>
      </c>
      <c r="T6" s="585">
        <f t="shared" si="12"/>
        <v>0</v>
      </c>
      <c r="U6" s="585">
        <f t="shared" si="9"/>
        <v>0</v>
      </c>
      <c r="V6" s="585">
        <f t="shared" si="12"/>
        <v>0</v>
      </c>
      <c r="W6" s="585">
        <f t="shared" si="10"/>
        <v>0</v>
      </c>
      <c r="X6" s="585">
        <f t="shared" si="11"/>
        <v>0</v>
      </c>
    </row>
    <row r="7" spans="1:24" ht="25.5">
      <c r="A7" s="357">
        <v>3</v>
      </c>
      <c r="B7" s="584" t="s">
        <v>561</v>
      </c>
      <c r="C7" s="917"/>
      <c r="D7" s="253">
        <f>'5'!E26</f>
        <v>0</v>
      </c>
      <c r="E7" s="585">
        <f t="shared" si="0"/>
        <v>0</v>
      </c>
      <c r="F7" s="585">
        <f t="shared" si="1"/>
        <v>0</v>
      </c>
      <c r="G7" s="585">
        <f t="shared" si="2"/>
        <v>0</v>
      </c>
      <c r="H7" s="585">
        <f>F7-G7</f>
        <v>0</v>
      </c>
      <c r="I7" s="585">
        <f t="shared" si="3"/>
        <v>0</v>
      </c>
      <c r="J7" s="585">
        <f>H7-I7</f>
        <v>0</v>
      </c>
      <c r="K7" s="585">
        <f t="shared" si="4"/>
        <v>0</v>
      </c>
      <c r="L7" s="585">
        <f>J7-K7</f>
        <v>0</v>
      </c>
      <c r="M7" s="585">
        <f t="shared" si="5"/>
        <v>0</v>
      </c>
      <c r="N7" s="585">
        <f>L7-M7</f>
        <v>0</v>
      </c>
      <c r="O7" s="585">
        <f t="shared" si="6"/>
        <v>0</v>
      </c>
      <c r="P7" s="585">
        <f>N7-O7</f>
        <v>0</v>
      </c>
      <c r="Q7" s="585">
        <f t="shared" si="7"/>
        <v>0</v>
      </c>
      <c r="R7" s="585">
        <f>P7-Q7</f>
        <v>0</v>
      </c>
      <c r="S7" s="585">
        <f t="shared" si="8"/>
        <v>0</v>
      </c>
      <c r="T7" s="585">
        <f>R7-S7</f>
        <v>0</v>
      </c>
      <c r="U7" s="585">
        <f t="shared" si="9"/>
        <v>0</v>
      </c>
      <c r="V7" s="585">
        <f>T7-U7</f>
        <v>0</v>
      </c>
      <c r="W7" s="585">
        <f t="shared" si="10"/>
        <v>0</v>
      </c>
      <c r="X7" s="585">
        <f t="shared" si="11"/>
        <v>0</v>
      </c>
    </row>
    <row r="8" spans="1:24" ht="25.5">
      <c r="A8" s="357">
        <v>4</v>
      </c>
      <c r="B8" s="601" t="s">
        <v>562</v>
      </c>
      <c r="C8" s="917"/>
      <c r="D8" s="253">
        <f>'5'!E15</f>
        <v>0</v>
      </c>
      <c r="E8" s="585">
        <f t="shared" si="0"/>
        <v>0</v>
      </c>
      <c r="F8" s="585">
        <f t="shared" si="1"/>
        <v>0</v>
      </c>
      <c r="G8" s="585">
        <f t="shared" si="2"/>
        <v>0</v>
      </c>
      <c r="H8" s="585">
        <f>F8-G8</f>
        <v>0</v>
      </c>
      <c r="I8" s="585">
        <f t="shared" si="3"/>
        <v>0</v>
      </c>
      <c r="J8" s="585">
        <f>H8-I8</f>
        <v>0</v>
      </c>
      <c r="K8" s="585">
        <f t="shared" si="4"/>
        <v>0</v>
      </c>
      <c r="L8" s="585">
        <f>J8-K8</f>
        <v>0</v>
      </c>
      <c r="M8" s="585">
        <f t="shared" si="5"/>
        <v>0</v>
      </c>
      <c r="N8" s="585">
        <f>L8-M8</f>
        <v>0</v>
      </c>
      <c r="O8" s="585">
        <f t="shared" si="6"/>
        <v>0</v>
      </c>
      <c r="P8" s="585">
        <f>N8-O8</f>
        <v>0</v>
      </c>
      <c r="Q8" s="585">
        <f t="shared" si="7"/>
        <v>0</v>
      </c>
      <c r="R8" s="585">
        <f>P8-Q8</f>
        <v>0</v>
      </c>
      <c r="S8" s="585">
        <f t="shared" si="8"/>
        <v>0</v>
      </c>
      <c r="T8" s="585">
        <f>R8-S8</f>
        <v>0</v>
      </c>
      <c r="U8" s="585">
        <f t="shared" si="9"/>
        <v>0</v>
      </c>
      <c r="V8" s="585">
        <f>T8-U8</f>
        <v>0</v>
      </c>
      <c r="W8" s="585">
        <f t="shared" si="10"/>
        <v>0</v>
      </c>
      <c r="X8" s="585">
        <f t="shared" si="11"/>
        <v>0</v>
      </c>
    </row>
    <row r="9" spans="1:24" ht="25.5">
      <c r="A9" s="357">
        <v>5</v>
      </c>
      <c r="B9" s="601" t="s">
        <v>563</v>
      </c>
      <c r="C9" s="917"/>
      <c r="D9" s="253">
        <f>'5'!E36</f>
        <v>0</v>
      </c>
      <c r="E9" s="585">
        <f t="shared" si="0"/>
        <v>0</v>
      </c>
      <c r="F9" s="585">
        <f t="shared" si="1"/>
        <v>0</v>
      </c>
      <c r="G9" s="585">
        <f t="shared" si="2"/>
        <v>0</v>
      </c>
      <c r="H9" s="585">
        <f>F9-G9</f>
        <v>0</v>
      </c>
      <c r="I9" s="585">
        <f t="shared" si="3"/>
        <v>0</v>
      </c>
      <c r="J9" s="585">
        <f>H9-I9</f>
        <v>0</v>
      </c>
      <c r="K9" s="585">
        <f t="shared" si="4"/>
        <v>0</v>
      </c>
      <c r="L9" s="585">
        <f>J9-K9</f>
        <v>0</v>
      </c>
      <c r="M9" s="585">
        <f t="shared" si="5"/>
        <v>0</v>
      </c>
      <c r="N9" s="585">
        <f>L9-M9</f>
        <v>0</v>
      </c>
      <c r="O9" s="585">
        <f t="shared" si="6"/>
        <v>0</v>
      </c>
      <c r="P9" s="585">
        <f>N9-O9</f>
        <v>0</v>
      </c>
      <c r="Q9" s="585">
        <f t="shared" si="7"/>
        <v>0</v>
      </c>
      <c r="R9" s="585">
        <f>P9-Q9</f>
        <v>0</v>
      </c>
      <c r="S9" s="585">
        <f t="shared" si="8"/>
        <v>0</v>
      </c>
      <c r="T9" s="585">
        <f>R9-S9</f>
        <v>0</v>
      </c>
      <c r="U9" s="585">
        <f t="shared" si="9"/>
        <v>0</v>
      </c>
      <c r="V9" s="585">
        <f>T9-U9</f>
        <v>0</v>
      </c>
      <c r="W9" s="585">
        <f t="shared" si="10"/>
        <v>0</v>
      </c>
      <c r="X9" s="585">
        <f t="shared" si="11"/>
        <v>0</v>
      </c>
    </row>
    <row r="10" spans="1:24">
      <c r="A10" s="357">
        <v>6</v>
      </c>
      <c r="B10" s="601" t="s">
        <v>564</v>
      </c>
      <c r="C10" s="917"/>
      <c r="D10" s="253">
        <f>'5'!E16</f>
        <v>0</v>
      </c>
      <c r="E10" s="585">
        <f t="shared" si="0"/>
        <v>0</v>
      </c>
      <c r="F10" s="585">
        <f t="shared" si="1"/>
        <v>0</v>
      </c>
      <c r="G10" s="585">
        <f t="shared" si="2"/>
        <v>0</v>
      </c>
      <c r="H10" s="585">
        <f>F10-G10</f>
        <v>0</v>
      </c>
      <c r="I10" s="585">
        <f t="shared" si="3"/>
        <v>0</v>
      </c>
      <c r="J10" s="585">
        <f>H10-I10</f>
        <v>0</v>
      </c>
      <c r="K10" s="585">
        <f t="shared" si="4"/>
        <v>0</v>
      </c>
      <c r="L10" s="585">
        <f>J10-K10</f>
        <v>0</v>
      </c>
      <c r="M10" s="585">
        <f t="shared" si="5"/>
        <v>0</v>
      </c>
      <c r="N10" s="585">
        <f>L10-M10</f>
        <v>0</v>
      </c>
      <c r="O10" s="585">
        <f t="shared" si="6"/>
        <v>0</v>
      </c>
      <c r="P10" s="585">
        <f>N10-O10</f>
        <v>0</v>
      </c>
      <c r="Q10" s="585">
        <f t="shared" si="7"/>
        <v>0</v>
      </c>
      <c r="R10" s="585">
        <f>P10-Q10</f>
        <v>0</v>
      </c>
      <c r="S10" s="585">
        <f t="shared" si="8"/>
        <v>0</v>
      </c>
      <c r="T10" s="585">
        <f>R10-S10</f>
        <v>0</v>
      </c>
      <c r="U10" s="585">
        <f t="shared" si="9"/>
        <v>0</v>
      </c>
      <c r="V10" s="585">
        <f>T10-U10</f>
        <v>0</v>
      </c>
      <c r="W10" s="585">
        <f t="shared" si="10"/>
        <v>0</v>
      </c>
      <c r="X10" s="585">
        <f t="shared" si="11"/>
        <v>0</v>
      </c>
    </row>
    <row r="12" spans="1:24" s="602" customFormat="1">
      <c r="B12" s="587"/>
      <c r="D12" s="586">
        <f>SUBTOTAL(109,D5:D11)</f>
        <v>0</v>
      </c>
      <c r="E12" s="586">
        <f t="shared" ref="E12:X12" si="13">SUBTOTAL(109,E5:E11)</f>
        <v>0</v>
      </c>
      <c r="F12" s="586">
        <f t="shared" si="13"/>
        <v>0</v>
      </c>
      <c r="G12" s="586">
        <f t="shared" si="13"/>
        <v>0</v>
      </c>
      <c r="H12" s="586">
        <f t="shared" si="13"/>
        <v>0</v>
      </c>
      <c r="I12" s="586">
        <f t="shared" si="13"/>
        <v>0</v>
      </c>
      <c r="J12" s="586">
        <f t="shared" si="13"/>
        <v>0</v>
      </c>
      <c r="K12" s="586">
        <f t="shared" si="13"/>
        <v>0</v>
      </c>
      <c r="L12" s="586">
        <f t="shared" si="13"/>
        <v>0</v>
      </c>
      <c r="M12" s="586">
        <f t="shared" si="13"/>
        <v>0</v>
      </c>
      <c r="N12" s="586">
        <f t="shared" si="13"/>
        <v>0</v>
      </c>
      <c r="O12" s="586">
        <f t="shared" si="13"/>
        <v>0</v>
      </c>
      <c r="P12" s="586">
        <f t="shared" si="13"/>
        <v>0</v>
      </c>
      <c r="Q12" s="586">
        <f t="shared" si="13"/>
        <v>0</v>
      </c>
      <c r="R12" s="586">
        <f t="shared" si="13"/>
        <v>0</v>
      </c>
      <c r="S12" s="586">
        <f t="shared" si="13"/>
        <v>0</v>
      </c>
      <c r="T12" s="586">
        <f t="shared" si="13"/>
        <v>0</v>
      </c>
      <c r="U12" s="586">
        <f t="shared" si="13"/>
        <v>0</v>
      </c>
      <c r="V12" s="586">
        <f t="shared" si="13"/>
        <v>0</v>
      </c>
      <c r="W12" s="586">
        <f t="shared" si="13"/>
        <v>0</v>
      </c>
      <c r="X12" s="586">
        <f t="shared" si="13"/>
        <v>0</v>
      </c>
    </row>
    <row r="13" spans="1:24">
      <c r="A13" s="603"/>
      <c r="B13" s="604"/>
      <c r="C13" s="605"/>
      <c r="D13" s="606"/>
      <c r="E13" s="606"/>
      <c r="F13" s="606"/>
      <c r="G13" s="606"/>
      <c r="H13" s="606"/>
      <c r="I13" s="606"/>
      <c r="J13" s="606"/>
      <c r="K13" s="606"/>
      <c r="L13" s="606"/>
      <c r="M13" s="606"/>
      <c r="N13" s="606"/>
      <c r="O13" s="606"/>
      <c r="P13" s="606"/>
      <c r="Q13" s="606"/>
      <c r="R13" s="606"/>
      <c r="S13" s="606"/>
      <c r="T13" s="606"/>
      <c r="U13" s="606"/>
      <c r="V13" s="606"/>
      <c r="W13" s="606"/>
      <c r="X13" s="606">
        <f>'19'!B17</f>
        <v>0</v>
      </c>
    </row>
    <row r="14" spans="1:24">
      <c r="A14" s="603"/>
      <c r="B14" s="604"/>
      <c r="C14" s="605"/>
      <c r="D14" s="606"/>
      <c r="E14" s="606"/>
      <c r="F14" s="606"/>
      <c r="G14" s="606"/>
      <c r="H14" s="606"/>
      <c r="I14" s="606"/>
      <c r="J14" s="606"/>
      <c r="K14" s="606"/>
      <c r="L14" s="606"/>
      <c r="M14" s="606"/>
      <c r="N14" s="606"/>
      <c r="O14" s="606"/>
      <c r="P14" s="606"/>
      <c r="Q14" s="606"/>
      <c r="R14" s="606"/>
      <c r="S14" s="606"/>
      <c r="T14" s="606"/>
      <c r="U14" s="606"/>
      <c r="V14" s="606"/>
      <c r="W14" s="606"/>
      <c r="X14" s="606">
        <f>X12+X13</f>
        <v>0</v>
      </c>
    </row>
  </sheetData>
  <sheetProtection password="DA39" sheet="1" objects="1" scenarios="1" selectLockedCells="1"/>
  <mergeCells count="14">
    <mergeCell ref="I3:J3"/>
    <mergeCell ref="A1:X2"/>
    <mergeCell ref="A3:A4"/>
    <mergeCell ref="B3:B4"/>
    <mergeCell ref="C3:C4"/>
    <mergeCell ref="D3:F3"/>
    <mergeCell ref="G3:H3"/>
    <mergeCell ref="W3:X3"/>
    <mergeCell ref="K3:L3"/>
    <mergeCell ref="M3:N3"/>
    <mergeCell ref="O3:P3"/>
    <mergeCell ref="Q3:R3"/>
    <mergeCell ref="S3:T3"/>
    <mergeCell ref="U3:V3"/>
  </mergeCells>
  <conditionalFormatting sqref="F22">
    <cfRule type="dataBar" priority="1">
      <dataBar>
        <cfvo type="min" val="0"/>
        <cfvo type="max" val="0"/>
        <color rgb="FFFFB628"/>
      </dataBar>
    </cfRule>
  </conditionalFormatting>
  <printOptions horizontalCentered="1"/>
  <pageMargins left="0.25" right="0.25" top="0.75" bottom="0.75" header="0.3" footer="0.3"/>
  <pageSetup scale="83" orientation="landscape" r:id="rId1"/>
  <headerFooter>
    <oddFooter>&amp;L&amp;F&amp;C&amp;P of &amp;N&amp;R&amp;A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dimension ref="A1:C26"/>
  <sheetViews>
    <sheetView showGridLines="0" workbookViewId="0">
      <selection activeCell="B4" sqref="B4"/>
    </sheetView>
  </sheetViews>
  <sheetFormatPr defaultColWidth="21.5703125" defaultRowHeight="15"/>
  <cols>
    <col min="1" max="1" width="56.5703125" style="176" customWidth="1"/>
    <col min="2" max="3" width="11.140625" style="176" customWidth="1"/>
    <col min="4" max="16384" width="21.5703125" style="176"/>
  </cols>
  <sheetData>
    <row r="1" spans="1:3" ht="16.5" thickBot="1">
      <c r="A1" s="807" t="s">
        <v>138</v>
      </c>
      <c r="B1" s="808"/>
      <c r="C1" s="809"/>
    </row>
    <row r="3" spans="1:3" ht="16.5" thickBot="1">
      <c r="A3" s="354" t="s">
        <v>0</v>
      </c>
      <c r="B3" s="355" t="s">
        <v>1</v>
      </c>
      <c r="C3" s="356" t="s">
        <v>2</v>
      </c>
    </row>
    <row r="4" spans="1:3">
      <c r="A4" s="474" t="s">
        <v>3</v>
      </c>
      <c r="B4" s="340"/>
      <c r="C4" s="341"/>
    </row>
    <row r="5" spans="1:3">
      <c r="A5" s="475" t="s">
        <v>4</v>
      </c>
      <c r="B5" s="342"/>
      <c r="C5" s="343"/>
    </row>
    <row r="6" spans="1:3">
      <c r="A6" s="475" t="s">
        <v>5</v>
      </c>
      <c r="B6" s="344"/>
      <c r="C6" s="343"/>
    </row>
    <row r="7" spans="1:3">
      <c r="A7" s="475" t="s">
        <v>6</v>
      </c>
      <c r="B7" s="342"/>
      <c r="C7" s="343"/>
    </row>
    <row r="8" spans="1:3">
      <c r="A8" s="475"/>
      <c r="B8" s="342"/>
      <c r="C8" s="345"/>
    </row>
    <row r="9" spans="1:3">
      <c r="A9" s="476" t="s">
        <v>660</v>
      </c>
      <c r="B9" s="346"/>
      <c r="C9" s="347"/>
    </row>
    <row r="11" spans="1:3" ht="15.75" thickBot="1">
      <c r="A11" s="357"/>
      <c r="B11" s="357"/>
    </row>
    <row r="12" spans="1:3">
      <c r="A12" s="477" t="s">
        <v>27</v>
      </c>
      <c r="B12" s="348"/>
    </row>
    <row r="13" spans="1:3">
      <c r="A13" s="475" t="s">
        <v>28</v>
      </c>
      <c r="B13" s="349"/>
    </row>
    <row r="14" spans="1:3">
      <c r="A14" s="475" t="s">
        <v>29</v>
      </c>
      <c r="B14" s="350"/>
    </row>
    <row r="15" spans="1:3">
      <c r="A15" s="475" t="s">
        <v>662</v>
      </c>
      <c r="B15" s="349"/>
    </row>
    <row r="16" spans="1:3">
      <c r="A16" s="475" t="s">
        <v>663</v>
      </c>
      <c r="B16" s="349"/>
    </row>
    <row r="17" spans="1:2">
      <c r="A17" s="475" t="s">
        <v>661</v>
      </c>
      <c r="B17" s="351"/>
    </row>
    <row r="18" spans="1:2">
      <c r="A18" s="475" t="s">
        <v>469</v>
      </c>
      <c r="B18" s="349"/>
    </row>
    <row r="19" spans="1:2">
      <c r="A19" s="857" t="s">
        <v>611</v>
      </c>
      <c r="B19" s="858"/>
    </row>
    <row r="20" spans="1:2">
      <c r="A20" s="857" t="s">
        <v>609</v>
      </c>
      <c r="B20" s="858"/>
    </row>
    <row r="21" spans="1:2">
      <c r="A21" s="857" t="s">
        <v>612</v>
      </c>
      <c r="B21" s="858"/>
    </row>
    <row r="22" spans="1:2">
      <c r="A22" s="475" t="s">
        <v>30</v>
      </c>
      <c r="B22" s="352"/>
    </row>
    <row r="23" spans="1:2">
      <c r="A23" s="475" t="s">
        <v>31</v>
      </c>
      <c r="B23" s="352"/>
    </row>
    <row r="24" spans="1:2">
      <c r="A24" s="475" t="s">
        <v>664</v>
      </c>
      <c r="B24" s="352"/>
    </row>
    <row r="25" spans="1:2">
      <c r="A25" s="475" t="s">
        <v>600</v>
      </c>
      <c r="B25" s="737"/>
    </row>
    <row r="26" spans="1:2">
      <c r="A26" s="476" t="s">
        <v>665</v>
      </c>
      <c r="B26" s="353"/>
    </row>
  </sheetData>
  <sheetProtection password="DA39" sheet="1" objects="1" scenarios="1" insertRows="0" selectLockedCells="1"/>
  <mergeCells count="1">
    <mergeCell ref="A1:C1"/>
  </mergeCells>
  <printOptions horizontalCentered="1"/>
  <pageMargins left="0.25" right="0.25" top="0.75" bottom="0.75" header="0.3" footer="0.3"/>
  <pageSetup orientation="landscape" r:id="rId1"/>
  <headerFooter>
    <oddFooter>&amp;L&amp;F&amp;R&amp;A</oddFooter>
  </headerFooter>
  <legacy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dimension ref="A1:C27"/>
  <sheetViews>
    <sheetView showGridLines="0" workbookViewId="0">
      <selection activeCell="E16" sqref="E16"/>
    </sheetView>
  </sheetViews>
  <sheetFormatPr defaultRowHeight="15"/>
  <cols>
    <col min="1" max="1" width="30.5703125" style="176" customWidth="1"/>
    <col min="2" max="3" width="15.140625" style="176" customWidth="1"/>
    <col min="4" max="16384" width="9.140625" style="176"/>
  </cols>
  <sheetData>
    <row r="1" spans="1:3" ht="16.5" thickBot="1">
      <c r="A1" s="807" t="s">
        <v>141</v>
      </c>
      <c r="B1" s="808"/>
      <c r="C1" s="809"/>
    </row>
    <row r="2" spans="1:3" ht="16.5" thickBot="1">
      <c r="A2" s="608"/>
      <c r="B2" s="608"/>
      <c r="C2" s="608"/>
    </row>
    <row r="3" spans="1:3" ht="15.75">
      <c r="A3" s="810" t="s">
        <v>571</v>
      </c>
      <c r="B3" s="811"/>
      <c r="C3" s="609">
        <f>'3'!E7</f>
        <v>0</v>
      </c>
    </row>
    <row r="4" spans="1:3" ht="15.75">
      <c r="A4" s="812" t="s">
        <v>574</v>
      </c>
      <c r="B4" s="813"/>
      <c r="C4" s="610" t="e">
        <f>B11/B23</f>
        <v>#DIV/0!</v>
      </c>
    </row>
    <row r="5" spans="1:3" ht="15.75">
      <c r="A5" s="812" t="s">
        <v>572</v>
      </c>
      <c r="B5" s="813"/>
      <c r="C5" s="610" t="e">
        <f>(B12+B13+B14+B15)/B23</f>
        <v>#DIV/0!</v>
      </c>
    </row>
    <row r="6" spans="1:3" ht="16.5" thickBot="1">
      <c r="A6" s="814" t="s">
        <v>573</v>
      </c>
      <c r="B6" s="815"/>
      <c r="C6" s="611" t="e">
        <f>(B16+B17+B18+B19+B20+B21+B22)/B23</f>
        <v>#DIV/0!</v>
      </c>
    </row>
    <row r="8" spans="1:3">
      <c r="A8" s="326" t="s">
        <v>0</v>
      </c>
      <c r="B8" s="327" t="s">
        <v>7</v>
      </c>
      <c r="C8" s="328" t="s">
        <v>139</v>
      </c>
    </row>
    <row r="9" spans="1:3" ht="15.75" thickBot="1">
      <c r="A9" s="329"/>
      <c r="B9" s="330" t="s">
        <v>8</v>
      </c>
      <c r="C9" s="331" t="s">
        <v>9</v>
      </c>
    </row>
    <row r="10" spans="1:3">
      <c r="A10" s="332" t="s">
        <v>10</v>
      </c>
      <c r="B10" s="320"/>
      <c r="C10" s="324"/>
    </row>
    <row r="11" spans="1:3">
      <c r="A11" s="285" t="s">
        <v>11</v>
      </c>
      <c r="B11" s="333">
        <f>Table3[[#This Row],[Column1]]/10.76</f>
        <v>0</v>
      </c>
      <c r="C11" s="325">
        <f>'3'!E17</f>
        <v>0</v>
      </c>
    </row>
    <row r="12" spans="1:3">
      <c r="A12" s="285" t="s">
        <v>12</v>
      </c>
      <c r="B12" s="333">
        <f>Table3[[#This Row],[Column1]]/10.76</f>
        <v>0</v>
      </c>
      <c r="C12" s="325">
        <f>'3'!C31</f>
        <v>0</v>
      </c>
    </row>
    <row r="13" spans="1:3">
      <c r="A13" s="285" t="s">
        <v>13</v>
      </c>
      <c r="B13" s="333">
        <f>Table3[[#This Row],[Column1]]/10.76</f>
        <v>0</v>
      </c>
      <c r="C13" s="325">
        <f>'4'!C6+'4'!C13</f>
        <v>0</v>
      </c>
    </row>
    <row r="14" spans="1:3">
      <c r="A14" s="285" t="s">
        <v>14</v>
      </c>
      <c r="B14" s="333">
        <f>Table3[[#This Row],[Column1]]/10.76</f>
        <v>0</v>
      </c>
      <c r="C14" s="325">
        <f>'4'!D24</f>
        <v>0</v>
      </c>
    </row>
    <row r="15" spans="1:3">
      <c r="A15" s="285" t="s">
        <v>15</v>
      </c>
      <c r="B15" s="333">
        <f>Table3[[#This Row],[Column1]]/10.76</f>
        <v>0</v>
      </c>
      <c r="C15" s="325">
        <f>'4'!D31</f>
        <v>0</v>
      </c>
    </row>
    <row r="16" spans="1:3">
      <c r="A16" s="285" t="s">
        <v>16</v>
      </c>
      <c r="B16" s="333">
        <f>Table3[[#This Row],[Column1]]/10.76</f>
        <v>0</v>
      </c>
      <c r="C16" s="325">
        <f>'4'!C36</f>
        <v>0</v>
      </c>
    </row>
    <row r="17" spans="1:3">
      <c r="A17" s="285" t="s">
        <v>17</v>
      </c>
      <c r="B17" s="333">
        <f>Table3[[#This Row],[Column1]]/10.76</f>
        <v>0</v>
      </c>
      <c r="C17" s="325">
        <f>'4'!C34</f>
        <v>0</v>
      </c>
    </row>
    <row r="18" spans="1:3">
      <c r="A18" s="285" t="s">
        <v>18</v>
      </c>
      <c r="B18" s="333">
        <f>Table3[[#This Row],[Column1]]/10.76</f>
        <v>0</v>
      </c>
      <c r="C18" s="325">
        <f>'4'!C35</f>
        <v>0</v>
      </c>
    </row>
    <row r="19" spans="1:3">
      <c r="A19" s="285" t="s">
        <v>19</v>
      </c>
      <c r="B19" s="333">
        <f>Table3[[#This Row],[Column1]]/10.76</f>
        <v>0</v>
      </c>
      <c r="C19" s="325">
        <f>'4'!C37</f>
        <v>0</v>
      </c>
    </row>
    <row r="20" spans="1:3">
      <c r="A20" s="285" t="s">
        <v>20</v>
      </c>
      <c r="B20" s="333">
        <f>Table3[[#This Row],[Column1]]/10.76</f>
        <v>0</v>
      </c>
      <c r="C20" s="325">
        <f>'4'!C40</f>
        <v>0</v>
      </c>
    </row>
    <row r="21" spans="1:3">
      <c r="A21" s="285" t="s">
        <v>26</v>
      </c>
      <c r="B21" s="333">
        <f>Table3[[#This Row],[Column1]]/10.76</f>
        <v>0</v>
      </c>
      <c r="C21" s="325">
        <f>'4'!C39</f>
        <v>0</v>
      </c>
    </row>
    <row r="22" spans="1:3">
      <c r="A22" s="285" t="s">
        <v>21</v>
      </c>
      <c r="B22" s="333">
        <f>Table3[[#This Row],[Column1]]/10.76</f>
        <v>0</v>
      </c>
      <c r="C22" s="325">
        <f>'4'!C38</f>
        <v>0</v>
      </c>
    </row>
    <row r="23" spans="1:3" s="196" customFormat="1" ht="15.75">
      <c r="A23" s="334" t="s">
        <v>22</v>
      </c>
      <c r="B23" s="335">
        <f>SUBTOTAL(109,B9:B22)</f>
        <v>0</v>
      </c>
      <c r="C23" s="336">
        <f>SUBTOTAL(109,C10:C22)</f>
        <v>0</v>
      </c>
    </row>
    <row r="24" spans="1:3">
      <c r="A24" s="337" t="s">
        <v>23</v>
      </c>
      <c r="B24" s="338" t="e">
        <f>Table3[[#This Row],[Column1]]/10.76</f>
        <v>#DIV/0!</v>
      </c>
      <c r="C24" s="339" t="e">
        <f>C23/'3'!E7</f>
        <v>#DIV/0!</v>
      </c>
    </row>
    <row r="25" spans="1:3">
      <c r="A25" s="285" t="s">
        <v>24</v>
      </c>
      <c r="B25" s="333">
        <f>Table3[[#This Row],[Column1]]/10.76</f>
        <v>0</v>
      </c>
      <c r="C25" s="325">
        <f>'Area&amp;Cost'!D37</f>
        <v>0</v>
      </c>
    </row>
    <row r="26" spans="1:3" s="196" customFormat="1" ht="15.75">
      <c r="A26" s="334" t="s">
        <v>25</v>
      </c>
      <c r="B26" s="335">
        <f>B23+B25</f>
        <v>0</v>
      </c>
      <c r="C26" s="335">
        <f>C23+C25</f>
        <v>0</v>
      </c>
    </row>
    <row r="27" spans="1:3">
      <c r="A27" s="280"/>
      <c r="B27" s="312"/>
      <c r="C27" s="313"/>
    </row>
  </sheetData>
  <sheetProtection password="DA39" sheet="1" objects="1" scenarios="1" selectLockedCells="1"/>
  <mergeCells count="5">
    <mergeCell ref="A1:C1"/>
    <mergeCell ref="A3:B3"/>
    <mergeCell ref="A4:B4"/>
    <mergeCell ref="A5:B5"/>
    <mergeCell ref="A6:B6"/>
  </mergeCells>
  <printOptions horizontalCentered="1"/>
  <pageMargins left="0.25" right="0.25" top="0.75" bottom="0.75" header="0.3" footer="0.3"/>
  <pageSetup orientation="landscape" r:id="rId1"/>
  <headerFooter>
    <oddFooter>&amp;L&amp;F&amp;R&amp;A</oddFooter>
  </headerFooter>
  <tableParts count="1">
    <tablePart r:id="rId2"/>
  </tableParts>
</worksheet>
</file>

<file path=xl/worksheets/sheet9.xml><?xml version="1.0" encoding="utf-8"?>
<worksheet xmlns="http://schemas.openxmlformats.org/spreadsheetml/2006/main" xmlns:r="http://schemas.openxmlformats.org/officeDocument/2006/relationships">
  <sheetPr>
    <pageSetUpPr fitToPage="1"/>
  </sheetPr>
  <dimension ref="A1:E31"/>
  <sheetViews>
    <sheetView showGridLines="0" workbookViewId="0">
      <selection activeCell="F4" sqref="F4"/>
    </sheetView>
  </sheetViews>
  <sheetFormatPr defaultRowHeight="15"/>
  <cols>
    <col min="1" max="1" width="36.140625" style="176" customWidth="1"/>
    <col min="2" max="5" width="12.28515625" style="176" customWidth="1"/>
    <col min="6" max="16384" width="9.140625" style="176"/>
  </cols>
  <sheetData>
    <row r="1" spans="1:5" ht="16.5" thickBot="1">
      <c r="A1" s="807" t="s">
        <v>32</v>
      </c>
      <c r="B1" s="808"/>
      <c r="C1" s="808"/>
      <c r="D1" s="808"/>
      <c r="E1" s="809"/>
    </row>
    <row r="2" spans="1:5" ht="15.75" thickBot="1">
      <c r="E2" s="176" t="s">
        <v>33</v>
      </c>
    </row>
    <row r="3" spans="1:5" ht="16.5" thickBot="1">
      <c r="A3" s="301" t="s">
        <v>34</v>
      </c>
      <c r="B3" s="302" t="s">
        <v>35</v>
      </c>
      <c r="C3" s="302" t="s">
        <v>36</v>
      </c>
      <c r="D3" s="302" t="s">
        <v>37</v>
      </c>
      <c r="E3" s="303" t="s">
        <v>38</v>
      </c>
    </row>
    <row r="4" spans="1:5">
      <c r="A4" s="304" t="s">
        <v>39</v>
      </c>
      <c r="B4" s="305">
        <f>'Area&amp;Cost'!B6</f>
        <v>0</v>
      </c>
      <c r="C4" s="294">
        <f>'Area&amp;Cost'!C6</f>
        <v>0</v>
      </c>
      <c r="D4" s="306">
        <f>Table5[[#This Row],[Number]]*Table5[[#This Row],[Unit Bays]]</f>
        <v>0</v>
      </c>
      <c r="E4" s="307">
        <f>Table5[[#This Row],[Number]]</f>
        <v>0</v>
      </c>
    </row>
    <row r="5" spans="1:5">
      <c r="A5" s="308" t="s">
        <v>40</v>
      </c>
      <c r="B5" s="305">
        <f>'Area&amp;Cost'!B7</f>
        <v>0</v>
      </c>
      <c r="C5" s="285">
        <f>'Area&amp;Cost'!C7</f>
        <v>0</v>
      </c>
      <c r="D5" s="309">
        <f>Table5[[#This Row],[Number]]*Table5[[#This Row],[Unit Bays]]</f>
        <v>0</v>
      </c>
      <c r="E5" s="310">
        <f>Table5[[#This Row],[Number]]</f>
        <v>0</v>
      </c>
    </row>
    <row r="6" spans="1:5" ht="15.75" thickBot="1">
      <c r="A6" s="311" t="s">
        <v>41</v>
      </c>
      <c r="B6" s="305">
        <f>'Area&amp;Cost'!B8</f>
        <v>0</v>
      </c>
      <c r="C6" s="280">
        <f>C5*2</f>
        <v>0</v>
      </c>
      <c r="D6" s="312">
        <f>Table5[[#This Row],[Number]]*Table5[[#This Row],[Unit Bays]]</f>
        <v>0</v>
      </c>
      <c r="E6" s="313">
        <f>Table5[[#This Row],[Number]]</f>
        <v>0</v>
      </c>
    </row>
    <row r="7" spans="1:5" ht="16.5" thickBot="1">
      <c r="A7" s="288" t="s">
        <v>42</v>
      </c>
      <c r="B7" s="314">
        <f>SUBTOTAL(109,B4:B6)</f>
        <v>0</v>
      </c>
      <c r="C7" s="314"/>
      <c r="D7" s="314">
        <f>SUBTOTAL(109,D4:D6)</f>
        <v>0</v>
      </c>
      <c r="E7" s="315">
        <f>SUBTOTAL(109,E4:E6)</f>
        <v>0</v>
      </c>
    </row>
    <row r="9" spans="1:5" ht="16.5" thickBot="1">
      <c r="A9" s="819" t="s">
        <v>43</v>
      </c>
      <c r="B9" s="819"/>
      <c r="C9" s="819"/>
      <c r="D9" s="819"/>
      <c r="E9" s="819"/>
    </row>
    <row r="10" spans="1:5" ht="15.75">
      <c r="A10" s="820" t="s">
        <v>44</v>
      </c>
      <c r="B10" s="816" t="s">
        <v>45</v>
      </c>
      <c r="C10" s="817"/>
      <c r="D10" s="817"/>
      <c r="E10" s="818"/>
    </row>
    <row r="11" spans="1:5" ht="16.5" thickBot="1">
      <c r="A11" s="821"/>
      <c r="B11" s="316" t="s">
        <v>8</v>
      </c>
      <c r="C11" s="316" t="s">
        <v>9</v>
      </c>
      <c r="D11" s="316" t="s">
        <v>46</v>
      </c>
      <c r="E11" s="317" t="s">
        <v>9</v>
      </c>
    </row>
    <row r="12" spans="1:5" ht="15.75" hidden="1" thickBot="1">
      <c r="A12" s="294" t="s">
        <v>139</v>
      </c>
      <c r="B12" s="306" t="s">
        <v>140</v>
      </c>
      <c r="C12" s="306" t="s">
        <v>142</v>
      </c>
      <c r="D12" s="318" t="s">
        <v>143</v>
      </c>
      <c r="E12" s="319" t="s">
        <v>144</v>
      </c>
    </row>
    <row r="13" spans="1:5">
      <c r="A13" s="277" t="s">
        <v>39</v>
      </c>
      <c r="B13" s="278">
        <f>Table7[[#This Row],[Column3]]/10.76</f>
        <v>0</v>
      </c>
      <c r="C13" s="320">
        <f>'Area&amp;Cost'!D6</f>
        <v>0</v>
      </c>
      <c r="D13" s="278">
        <f>Table7[[#This Row],[Column5]]/10.76</f>
        <v>0</v>
      </c>
      <c r="E13" s="279">
        <f>Table7[[#This Row],[Column3]]*E4</f>
        <v>0</v>
      </c>
    </row>
    <row r="14" spans="1:5">
      <c r="A14" s="285" t="s">
        <v>40</v>
      </c>
      <c r="B14" s="286">
        <f>Table7[[#This Row],[Column3]]/10.76</f>
        <v>0</v>
      </c>
      <c r="C14" s="309">
        <f>'Area&amp;Cost'!D7</f>
        <v>0</v>
      </c>
      <c r="D14" s="286">
        <f>Table7[[#This Row],[Column5]]/10.76</f>
        <v>0</v>
      </c>
      <c r="E14" s="287">
        <f>Table7[[#This Row],[Column3]]*E5</f>
        <v>0</v>
      </c>
    </row>
    <row r="15" spans="1:5">
      <c r="A15" s="285" t="s">
        <v>41</v>
      </c>
      <c r="B15" s="286">
        <f>Table7[[#This Row],[Column3]]/10.76</f>
        <v>0</v>
      </c>
      <c r="C15" s="309">
        <f>'Area&amp;Cost'!D8</f>
        <v>0</v>
      </c>
      <c r="D15" s="286">
        <f>Table7[[#This Row],[Column5]]/10.76</f>
        <v>0</v>
      </c>
      <c r="E15" s="287">
        <f>Table7[[#This Row],[Column3]]*E6</f>
        <v>0</v>
      </c>
    </row>
    <row r="16" spans="1:5" ht="15.75" thickBot="1">
      <c r="A16" s="280" t="s">
        <v>47</v>
      </c>
      <c r="B16" s="281"/>
      <c r="C16" s="281"/>
      <c r="D16" s="281">
        <f>Table7[[#This Row],[Column5]]/10.76</f>
        <v>0</v>
      </c>
      <c r="E16" s="282">
        <f>0.25*(E13+E14+E15)</f>
        <v>0</v>
      </c>
    </row>
    <row r="17" spans="1:5" ht="16.5" thickBot="1">
      <c r="A17" s="288" t="s">
        <v>48</v>
      </c>
      <c r="B17" s="289">
        <f>SUBTOTAL(109,B13:B16)</f>
        <v>0</v>
      </c>
      <c r="C17" s="289">
        <f>SUBTOTAL(109,C13:C16)</f>
        <v>0</v>
      </c>
      <c r="D17" s="289">
        <f>SUBTOTAL(109,D13:D16)</f>
        <v>0</v>
      </c>
      <c r="E17" s="289">
        <f>SUBTOTAL(109,E13:E16)</f>
        <v>0</v>
      </c>
    </row>
    <row r="19" spans="1:5" ht="16.5" thickBot="1">
      <c r="A19" s="819" t="s">
        <v>12</v>
      </c>
      <c r="B19" s="819"/>
      <c r="C19" s="819"/>
      <c r="D19" s="819"/>
      <c r="E19" s="819"/>
    </row>
    <row r="20" spans="1:5" ht="16.5" thickBot="1">
      <c r="A20" s="321"/>
      <c r="B20" s="322" t="s">
        <v>8</v>
      </c>
      <c r="C20" s="323" t="s">
        <v>9</v>
      </c>
    </row>
    <row r="21" spans="1:5" ht="15.75" hidden="1" thickBot="1">
      <c r="A21" s="294" t="s">
        <v>139</v>
      </c>
      <c r="B21" s="306" t="s">
        <v>140</v>
      </c>
      <c r="C21" s="307" t="s">
        <v>142</v>
      </c>
    </row>
    <row r="22" spans="1:5">
      <c r="A22" s="277" t="s">
        <v>49</v>
      </c>
      <c r="B22" s="278">
        <f>Table8[[#This Row],[Column3]]/10.76</f>
        <v>0</v>
      </c>
      <c r="C22" s="324">
        <f>'Area&amp;Cost'!D16</f>
        <v>0</v>
      </c>
    </row>
    <row r="23" spans="1:5">
      <c r="A23" s="285" t="s">
        <v>50</v>
      </c>
      <c r="B23" s="286">
        <f>Table8[[#This Row],[Column3]]/10.76</f>
        <v>0</v>
      </c>
      <c r="C23" s="325">
        <f>'Area&amp;Cost'!D17</f>
        <v>0</v>
      </c>
    </row>
    <row r="24" spans="1:5">
      <c r="A24" s="285" t="s">
        <v>51</v>
      </c>
      <c r="B24" s="286">
        <f>Table8[[#This Row],[Column3]]/10.76</f>
        <v>0</v>
      </c>
      <c r="C24" s="325">
        <f>'Area&amp;Cost'!D18</f>
        <v>0</v>
      </c>
    </row>
    <row r="25" spans="1:5">
      <c r="A25" s="285" t="s">
        <v>52</v>
      </c>
      <c r="B25" s="286">
        <f>Table8[[#This Row],[Column3]]/10.76</f>
        <v>0</v>
      </c>
      <c r="C25" s="310">
        <f>'Area&amp;Cost'!D19</f>
        <v>0</v>
      </c>
    </row>
    <row r="26" spans="1:5">
      <c r="A26" s="285" t="s">
        <v>53</v>
      </c>
      <c r="B26" s="286">
        <f>Table8[[#This Row],[Column3]]/10.76</f>
        <v>0</v>
      </c>
      <c r="C26" s="310">
        <f>'Area&amp;Cost'!D20</f>
        <v>0</v>
      </c>
    </row>
    <row r="27" spans="1:5">
      <c r="A27" s="285" t="s">
        <v>54</v>
      </c>
      <c r="B27" s="286">
        <f>Table8[[#This Row],[Column3]]/10.76</f>
        <v>0</v>
      </c>
      <c r="C27" s="310">
        <f>'Area&amp;Cost'!D21</f>
        <v>0</v>
      </c>
    </row>
    <row r="28" spans="1:5">
      <c r="A28" s="285" t="s">
        <v>55</v>
      </c>
      <c r="B28" s="286">
        <f>Table8[[#This Row],[Column3]]/10.76</f>
        <v>0</v>
      </c>
      <c r="C28" s="310">
        <f>'Area&amp;Cost'!D22</f>
        <v>0</v>
      </c>
    </row>
    <row r="29" spans="1:5">
      <c r="A29" s="285" t="s">
        <v>56</v>
      </c>
      <c r="B29" s="286">
        <f>Table8[[#This Row],[Column3]]/10.76</f>
        <v>0</v>
      </c>
      <c r="C29" s="310">
        <f>'Area&amp;Cost'!D23</f>
        <v>0</v>
      </c>
    </row>
    <row r="30" spans="1:5">
      <c r="A30" s="280" t="s">
        <v>57</v>
      </c>
      <c r="B30" s="281">
        <f>Table8[[#This Row],[Column3]]/10.76</f>
        <v>0</v>
      </c>
      <c r="C30" s="281">
        <f>0.2*(C22+C23+C24+C25+C26+C27+C28+C29)</f>
        <v>0</v>
      </c>
    </row>
    <row r="31" spans="1:5" ht="16.5" thickBot="1">
      <c r="A31" s="283" t="s">
        <v>42</v>
      </c>
      <c r="B31" s="284">
        <f>SUBTOTAL(109,Table8[Column2])</f>
        <v>0</v>
      </c>
      <c r="C31" s="284">
        <f>SUBTOTAL(109,Table8[Column3])</f>
        <v>0</v>
      </c>
    </row>
  </sheetData>
  <sheetProtection password="DA39" sheet="1" objects="1" scenarios="1" selectLockedCells="1"/>
  <mergeCells count="5">
    <mergeCell ref="B10:E10"/>
    <mergeCell ref="A1:E1"/>
    <mergeCell ref="A9:E9"/>
    <mergeCell ref="A10:A11"/>
    <mergeCell ref="A19:E19"/>
  </mergeCells>
  <printOptions horizontalCentered="1"/>
  <pageMargins left="0.25" right="0.25" top="0.75" bottom="0.75" header="0.3" footer="0.3"/>
  <pageSetup orientation="landscape" r:id="rId1"/>
  <headerFooter>
    <oddFooter>&amp;L&amp;F&amp;R&amp;A</oddFooter>
  </headerFooter>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vt:i4>
      </vt:variant>
    </vt:vector>
  </HeadingPairs>
  <TitlesOfParts>
    <vt:vector size="32" baseType="lpstr">
      <vt:lpstr>Notes</vt:lpstr>
      <vt:lpstr>Area&amp;Cost</vt:lpstr>
      <vt:lpstr>Comptn.</vt:lpstr>
      <vt:lpstr>Financials</vt:lpstr>
      <vt:lpstr>Interest</vt:lpstr>
      <vt:lpstr>Deprn</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'3'!Print_Area</vt:lpstr>
      <vt:lpstr>Comptn.!Print_Area</vt:lpstr>
      <vt:lpstr>'22'!Print_Titles</vt:lpstr>
      <vt:lpstr>Financials!Print_Titles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krishnakumar</dc:creator>
  <cp:lastModifiedBy>Lekha</cp:lastModifiedBy>
  <cp:lastPrinted>2008-12-26T07:47:50Z</cp:lastPrinted>
  <dcterms:created xsi:type="dcterms:W3CDTF">2008-03-11T09:58:07Z</dcterms:created>
  <dcterms:modified xsi:type="dcterms:W3CDTF">2008-12-26T12:18:49Z</dcterms:modified>
</cp:coreProperties>
</file>